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codeName="ThisWorkbook"/>
  <xr:revisionPtr revIDLastSave="389" documentId="8_{96A621A2-8EBB-4264-BA06-A0E90272E061}" xr6:coauthVersionLast="47" xr6:coauthVersionMax="47" xr10:uidLastSave="{45842CAE-2DF2-4DAF-A7CB-436B43BF9C23}"/>
  <bookViews>
    <workbookView xWindow="-120" yWindow="-120" windowWidth="29040" windowHeight="15720" firstSheet="1" activeTab="4" xr2:uid="{00000000-000D-0000-FFFF-FFFF00000000}"/>
  </bookViews>
  <sheets>
    <sheet name="Budget summary" sheetId="1" r:id="rId1"/>
    <sheet name="Income" sheetId="3" r:id="rId2"/>
    <sheet name="Expense Summary" sheetId="7" r:id="rId3"/>
    <sheet name="Athletics Budget" sheetId="11" r:id="rId4"/>
    <sheet name="Council Retreat Budget" sheetId="5" r:id="rId5"/>
    <sheet name="Frosh Budget" sheetId="8" r:id="rId6"/>
    <sheet name="Social Budget" sheetId="9" r:id="rId7"/>
    <sheet name="Honorarium" sheetId="4" r:id="rId8"/>
  </sheets>
  <definedNames>
    <definedName name="_xlnm._FilterDatabase" localSheetId="3" hidden="1">'Athletics Budget'!#REF!</definedName>
    <definedName name="_xlnm._FilterDatabase" localSheetId="0" hidden="1">Income!#REF!</definedName>
    <definedName name="_xlnm._FilterDatabase" localSheetId="4" hidden="1">'Council Retreat Budget'!#REF!</definedName>
    <definedName name="_xlnm._FilterDatabase" localSheetId="2" hidden="1">'Expense Summary'!#REF!</definedName>
    <definedName name="_xlnm._FilterDatabase" localSheetId="5" hidden="1">'Frosh Budget'!#REF!</definedName>
    <definedName name="_xlnm._FilterDatabase" localSheetId="7" hidden="1">Honorarium!#REF!</definedName>
    <definedName name="_xlnm._FilterDatabase" localSheetId="1" hidden="1">Income!#REF!</definedName>
    <definedName name="_xlnm._FilterDatabase" localSheetId="6" hidden="1">'Social Budget'!#REF!</definedName>
    <definedName name="BUDGET_Title">'Budget summary'!$C$3</definedName>
    <definedName name="ColumnTitle1">'Budget summary'!$C$6</definedName>
    <definedName name="COMPANY_NAME">'Budget summary'!#REF!</definedName>
    <definedName name="_xlnm.Print_Titles" localSheetId="3">'Athletics Budget'!$6:$6</definedName>
    <definedName name="_xlnm.Print_Titles" localSheetId="4">'Council Retreat Budget'!$6:$6</definedName>
    <definedName name="_xlnm.Print_Titles" localSheetId="2">'Expense Summary'!$6:$6</definedName>
    <definedName name="_xlnm.Print_Titles" localSheetId="5">'Frosh Budget'!$6:$6</definedName>
    <definedName name="_xlnm.Print_Titles" localSheetId="7">Honorarium!$6:$6</definedName>
    <definedName name="_xlnm.Print_Titles" localSheetId="1">Income!$6:$6</definedName>
    <definedName name="_xlnm.Print_Titles" localSheetId="6">'Social Budget'!$6:$6</definedName>
    <definedName name="Title1">#REF!</definedName>
    <definedName name="Title2" localSheetId="3">Income[[#Headers],[Income]]</definedName>
    <definedName name="Title2" localSheetId="2">Income[[#Headers],[Income]]</definedName>
    <definedName name="Title2" localSheetId="5">Income[[#Headers],[Income]]</definedName>
    <definedName name="Title2" localSheetId="6">Income[[#Headers],[Income]]</definedName>
    <definedName name="Title2">Income[[#Headers],[Income]]</definedName>
    <definedName name="Title3" localSheetId="3">PersonnelExpenses[[#Headers],[Expenses]]</definedName>
    <definedName name="Title3" localSheetId="2">PersonnelExpenses[[#Headers],[Expenses]]</definedName>
    <definedName name="Title3" localSheetId="5">PersonnelExpenses[[#Headers],[Expenses]]</definedName>
    <definedName name="Title3" localSheetId="6">PersonnelExpenses[[#Headers],[Expenses]]</definedName>
    <definedName name="Title3">PersonnelExpenses[[#Headers],[Expenses]]</definedName>
    <definedName name="Title4" localSheetId="3">OperatingExpenses27[[#Headers],[Expenses]]</definedName>
    <definedName name="Title4" localSheetId="2">OperatingExpenses2[[#Headers],[Expenses]]</definedName>
    <definedName name="Title4" localSheetId="5">OperatingExpenses2[[#Headers],[Expenses]]</definedName>
    <definedName name="Title4" localSheetId="6">OperatingExpenses2[[#Headers],[Expenses]]</definedName>
    <definedName name="Title4">OperatingExpenses[[#Headers],[Expenses]]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7" l="1"/>
  <c r="F9" i="7"/>
  <c r="F11" i="7"/>
  <c r="F23" i="7"/>
  <c r="F24" i="7"/>
  <c r="F25" i="7"/>
  <c r="F26" i="7"/>
  <c r="D7" i="7"/>
  <c r="F7" i="7" s="1"/>
  <c r="E10" i="3"/>
  <c r="F7" i="5"/>
  <c r="F8" i="5"/>
  <c r="F9" i="5"/>
  <c r="F10" i="5"/>
  <c r="O12" i="8"/>
  <c r="D10" i="3"/>
  <c r="F7" i="11"/>
  <c r="F8" i="11"/>
  <c r="F9" i="11"/>
  <c r="F10" i="11"/>
  <c r="F11" i="11"/>
  <c r="F12" i="11"/>
  <c r="F13" i="11"/>
  <c r="F14" i="11"/>
  <c r="F15" i="11"/>
  <c r="E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D28" i="11"/>
  <c r="D14" i="7" s="1"/>
  <c r="F12" i="7"/>
  <c r="F13" i="7"/>
  <c r="D27" i="9"/>
  <c r="D10" i="7" s="1"/>
  <c r="F11" i="3"/>
  <c r="F13" i="3"/>
  <c r="E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8" i="3"/>
  <c r="F15" i="7"/>
  <c r="F27" i="7"/>
  <c r="E27" i="8"/>
  <c r="D27" i="8"/>
  <c r="F8" i="7" s="1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E28" i="7"/>
  <c r="F22" i="7"/>
  <c r="F21" i="7"/>
  <c r="F20" i="7"/>
  <c r="F19" i="7"/>
  <c r="F18" i="7"/>
  <c r="F17" i="7"/>
  <c r="F16" i="7"/>
  <c r="F17" i="4"/>
  <c r="F18" i="4"/>
  <c r="F19" i="4"/>
  <c r="F20" i="4"/>
  <c r="F21" i="4"/>
  <c r="F22" i="4"/>
  <c r="F9" i="4"/>
  <c r="F10" i="4"/>
  <c r="F11" i="4"/>
  <c r="F12" i="4"/>
  <c r="F13" i="4"/>
  <c r="F14" i="4"/>
  <c r="F15" i="4"/>
  <c r="F16" i="4"/>
  <c r="F23" i="4"/>
  <c r="F12" i="3"/>
  <c r="D11" i="5"/>
  <c r="F14" i="7" l="1"/>
  <c r="F28" i="11"/>
  <c r="F27" i="9"/>
  <c r="F27" i="8"/>
  <c r="F10" i="7"/>
  <c r="F28" i="7" s="1"/>
  <c r="D28" i="7"/>
  <c r="D9" i="1" s="1"/>
  <c r="E14" i="3"/>
  <c r="E7" i="1" s="1"/>
  <c r="D25" i="4"/>
  <c r="D8" i="1" s="1"/>
  <c r="F24" i="4"/>
  <c r="E25" i="4" l="1"/>
  <c r="F7" i="4"/>
  <c r="F8" i="4"/>
  <c r="E11" i="5"/>
  <c r="E9" i="1" s="1"/>
  <c r="E10" i="1" s="1"/>
  <c r="D14" i="3"/>
  <c r="D7" i="1" s="1"/>
  <c r="D10" i="1" s="1"/>
  <c r="F7" i="3"/>
  <c r="F9" i="3"/>
  <c r="F10" i="3"/>
  <c r="F10" i="1" l="1"/>
  <c r="F7" i="1"/>
  <c r="F14" i="3"/>
  <c r="F9" i="1"/>
  <c r="F11" i="5"/>
  <c r="F8" i="1"/>
  <c r="F25" i="4"/>
</calcChain>
</file>

<file path=xl/sharedStrings.xml><?xml version="1.0" encoding="utf-8"?>
<sst xmlns="http://schemas.openxmlformats.org/spreadsheetml/2006/main" count="149" uniqueCount="95">
  <si>
    <t>Income</t>
  </si>
  <si>
    <t xml:space="preserve"> </t>
  </si>
  <si>
    <t>Estimated</t>
  </si>
  <si>
    <t>Actual</t>
  </si>
  <si>
    <t>Difference</t>
  </si>
  <si>
    <t>Operating expenses</t>
  </si>
  <si>
    <t>Budget area</t>
  </si>
  <si>
    <t>Balance (income minus expenses)</t>
  </si>
  <si>
    <t>Total income</t>
  </si>
  <si>
    <t>Total operating expenses</t>
  </si>
  <si>
    <t>Total personnel expenses</t>
  </si>
  <si>
    <t>Expenses</t>
  </si>
  <si>
    <t>Budget summary</t>
  </si>
  <si>
    <t>Honoraria</t>
  </si>
  <si>
    <t>Carryover</t>
  </si>
  <si>
    <t>Frosh Sales</t>
  </si>
  <si>
    <t>Montreal Sales</t>
  </si>
  <si>
    <t>Niagara Sales</t>
  </si>
  <si>
    <t>President Bonus</t>
  </si>
  <si>
    <t>VP Operations Bonus</t>
  </si>
  <si>
    <t xml:space="preserve">VP Finance </t>
  </si>
  <si>
    <t xml:space="preserve">President </t>
  </si>
  <si>
    <t xml:space="preserve">VP Operations </t>
  </si>
  <si>
    <t xml:space="preserve">VP Finance Bonus </t>
  </si>
  <si>
    <t>VP Athletics</t>
  </si>
  <si>
    <t xml:space="preserve">VP Social </t>
  </si>
  <si>
    <t>VP Academics</t>
  </si>
  <si>
    <t>VP Promotions</t>
  </si>
  <si>
    <t>VP Outreach</t>
  </si>
  <si>
    <t>Directors Athletics</t>
  </si>
  <si>
    <t xml:space="preserve">Director Social </t>
  </si>
  <si>
    <t>Director Promotions</t>
  </si>
  <si>
    <t xml:space="preserve">Director Finance </t>
  </si>
  <si>
    <t>First Year Representative</t>
  </si>
  <si>
    <t>Oreintation Chair #1</t>
  </si>
  <si>
    <t>Orientation Chair #2</t>
  </si>
  <si>
    <t>AirBnB</t>
  </si>
  <si>
    <t>Gas</t>
  </si>
  <si>
    <t xml:space="preserve">Food and Drinks </t>
  </si>
  <si>
    <t>Total Council Retreat Spending</t>
  </si>
  <si>
    <t>Notes</t>
  </si>
  <si>
    <t>Assuming 4-5 Vehicles, based on average price of gas in Ontario and a roughly 2 hr travel time; Consistent with prior year</t>
  </si>
  <si>
    <t>Cutting down on food and drinks as last year spend excessive amount on food and drinks that went to wase</t>
  </si>
  <si>
    <t>Budget lower as this years total budget is estimated to be lower. Last year retreat budget was 3% of total budget so following same principle there will be a derease in the budget for council retreat</t>
  </si>
  <si>
    <t>Interim Levy</t>
  </si>
  <si>
    <t>Year End Levy</t>
  </si>
  <si>
    <t>Frosh</t>
  </si>
  <si>
    <t>Social Budget</t>
  </si>
  <si>
    <t>Montreal</t>
  </si>
  <si>
    <t>Niagara</t>
  </si>
  <si>
    <t>Formal</t>
  </si>
  <si>
    <t>Formal Income</t>
  </si>
  <si>
    <t xml:space="preserve">Carryover </t>
  </si>
  <si>
    <t>2025/05/01 - 2026/04/30</t>
  </si>
  <si>
    <t xml:space="preserve">as per Council Retreat budget tab </t>
  </si>
  <si>
    <t>actual PY per QB is 63k ; Levy and carryover are lower CY therefore lower allocation</t>
  </si>
  <si>
    <t>Frosh Budget</t>
  </si>
  <si>
    <t>Council Retreat Budget</t>
  </si>
  <si>
    <t>Audit Fees</t>
  </si>
  <si>
    <t>PY actual 11.8k</t>
  </si>
  <si>
    <t>DETAILED BUDGET TBD</t>
  </si>
  <si>
    <t>Frost Week</t>
  </si>
  <si>
    <t>York Courtesy Account</t>
  </si>
  <si>
    <t>Per previous VP Finance estimates</t>
  </si>
  <si>
    <t>Expense Summary</t>
  </si>
  <si>
    <t>Social Events</t>
  </si>
  <si>
    <t>Jerseys</t>
  </si>
  <si>
    <t>Equipment</t>
  </si>
  <si>
    <t>Athletics Budget</t>
  </si>
  <si>
    <t>PY Budgeted</t>
  </si>
  <si>
    <t>Promotions Budget</t>
  </si>
  <si>
    <t xml:space="preserve">Academics </t>
  </si>
  <si>
    <t xml:space="preserve">website subscription </t>
  </si>
  <si>
    <t>PY Actual and budget estimate</t>
  </si>
  <si>
    <t>Merchandise</t>
  </si>
  <si>
    <t xml:space="preserve">Emergencies </t>
  </si>
  <si>
    <t xml:space="preserve">Miscallenoeus </t>
  </si>
  <si>
    <t>PY &amp; Q-Zips this year more costly</t>
  </si>
  <si>
    <t>Keep additionally to emergy funds/Carryover</t>
  </si>
  <si>
    <t>to cover any costs that are not accounted for in other line items</t>
  </si>
  <si>
    <t>as PY budget</t>
  </si>
  <si>
    <t>refer to social budget tab</t>
  </si>
  <si>
    <t>Based on 3 year avg of previous frosh sales</t>
  </si>
  <si>
    <t xml:space="preserve"> Based on past 3 yrs of Actuals</t>
  </si>
  <si>
    <t>"   "</t>
  </si>
  <si>
    <t>PY Actual</t>
  </si>
  <si>
    <t>Froshie equipment</t>
  </si>
  <si>
    <t>Big event (Centre island / we n wild )</t>
  </si>
  <si>
    <t>Leader stuff</t>
  </si>
  <si>
    <t>budget should be 65000</t>
  </si>
  <si>
    <t>PY Budgeted ; $250 per ratified club under NC</t>
  </si>
  <si>
    <t>quickbooks subcription</t>
  </si>
  <si>
    <t>`</t>
  </si>
  <si>
    <t>Council Retreats</t>
  </si>
  <si>
    <t xml:space="preserve">Dinner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</si>
</sst>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mmmm\ yyyy"/>
    <numFmt numFmtId="166" formatCode="0.0%"/>
    <numFmt numFmtId="167" formatCode="mm/dd/yy;@"/>
    <numFmt numFmtId="168" formatCode="#,##0.00_ ;[Red]\-#,##0.00\ "/>
    <numFmt numFmtId="169" formatCode="0.00_ ;[Red]\-0.00\ "/>
  </numFmts>
  <fonts count="26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6C0000"/>
      <name val="Calibri"/>
      <family val="2"/>
      <scheme val="minor"/>
    </font>
    <font>
      <sz val="36"/>
      <color theme="3"/>
      <name val="Calibri"/>
      <family val="2"/>
      <scheme val="major"/>
    </font>
    <font>
      <sz val="11"/>
      <color theme="3"/>
      <name val="Calibri"/>
      <family val="2"/>
      <scheme val="major"/>
    </font>
    <font>
      <sz val="11"/>
      <color theme="1" tint="4.9989318521683403E-2"/>
      <name val="Calibri"/>
      <family val="2"/>
      <scheme val="major"/>
    </font>
    <font>
      <sz val="11"/>
      <color theme="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ajor"/>
    </font>
    <font>
      <b/>
      <sz val="16"/>
      <color theme="4"/>
      <name val="Calibri"/>
      <family val="2"/>
      <scheme val="major"/>
    </font>
    <font>
      <sz val="36"/>
      <color theme="3"/>
      <name val="Calibri"/>
      <family val="2"/>
      <scheme val="minor"/>
    </font>
    <font>
      <sz val="26"/>
      <color theme="0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">
    <xf numFmtId="40" fontId="0" fillId="0" borderId="0">
      <alignment horizontal="center" vertical="center" wrapText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 applyNumberFormat="0" applyFill="0" applyAlignment="0" applyProtection="0"/>
    <xf numFmtId="0" fontId="7" fillId="5" borderId="0" applyBorder="0" applyProtection="0">
      <alignment horizontal="left" vertical="center" indent="1"/>
    </xf>
    <xf numFmtId="0" fontId="7" fillId="5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/>
    </xf>
    <xf numFmtId="165" fontId="6" fillId="4" borderId="0" applyFill="0" applyBorder="0">
      <alignment horizontal="right"/>
    </xf>
    <xf numFmtId="0" fontId="10" fillId="0" borderId="0" applyNumberFormat="0" applyProtection="0">
      <alignment horizontal="left" vertical="center" indent="1"/>
    </xf>
    <xf numFmtId="0" fontId="11" fillId="6" borderId="1" applyNumberFormat="0" applyFill="0" applyBorder="0" applyAlignment="0" applyProtection="0"/>
    <xf numFmtId="44" fontId="10" fillId="0" borderId="0" applyFont="0" applyFill="0" applyBorder="0" applyAlignment="0" applyProtection="0"/>
  </cellStyleXfs>
  <cellXfs count="75">
    <xf numFmtId="40" fontId="0" fillId="0" borderId="0" xfId="0">
      <alignment horizontal="center" vertical="center" wrapText="1"/>
    </xf>
    <xf numFmtId="40" fontId="9" fillId="4" borderId="0" xfId="0" applyFont="1" applyFill="1">
      <alignment horizontal="center" vertical="center" wrapText="1"/>
    </xf>
    <xf numFmtId="40" fontId="9" fillId="4" borderId="0" xfId="0" applyFont="1" applyFill="1" applyAlignment="1">
      <alignment vertical="center"/>
    </xf>
    <xf numFmtId="40" fontId="9" fillId="0" borderId="0" xfId="0" applyFont="1">
      <alignment horizontal="center" vertical="center" wrapText="1"/>
    </xf>
    <xf numFmtId="40" fontId="8" fillId="0" borderId="0" xfId="0" applyFont="1">
      <alignment horizontal="center" vertical="center" wrapText="1"/>
    </xf>
    <xf numFmtId="164" fontId="3" fillId="0" borderId="0" xfId="3" applyNumberFormat="1" applyFont="1" applyFill="1"/>
    <xf numFmtId="40" fontId="3" fillId="0" borderId="0" xfId="4" applyNumberFormat="1" applyFont="1" applyFill="1"/>
    <xf numFmtId="40" fontId="3" fillId="0" borderId="0" xfId="8" applyNumberFormat="1" applyFont="1" applyFill="1"/>
    <xf numFmtId="0" fontId="3" fillId="0" borderId="0" xfId="3" applyFont="1" applyFill="1"/>
    <xf numFmtId="40" fontId="9" fillId="0" borderId="0" xfId="0" applyFont="1" applyAlignment="1">
      <alignment horizontal="left" vertical="center" wrapText="1"/>
    </xf>
    <xf numFmtId="40" fontId="3" fillId="0" borderId="0" xfId="4" applyNumberFormat="1" applyFont="1" applyFill="1" applyAlignment="1">
      <alignment horizontal="left" vertical="center" indent="1"/>
    </xf>
    <xf numFmtId="40" fontId="9" fillId="4" borderId="0" xfId="0" applyFont="1" applyFill="1" applyAlignment="1">
      <alignment horizontal="left" vertical="center" wrapText="1" indent="1"/>
    </xf>
    <xf numFmtId="40" fontId="3" fillId="0" borderId="0" xfId="8" applyNumberFormat="1" applyFont="1" applyFill="1" applyAlignment="1">
      <alignment horizontal="left" vertical="center" indent="1"/>
    </xf>
    <xf numFmtId="40" fontId="3" fillId="7" borderId="0" xfId="0" applyFont="1" applyFill="1">
      <alignment horizontal="center" vertical="center" wrapText="1"/>
    </xf>
    <xf numFmtId="0" fontId="3" fillId="7" borderId="0" xfId="3" applyFont="1" applyFill="1" applyAlignment="1">
      <alignment vertical="center"/>
    </xf>
    <xf numFmtId="40" fontId="9" fillId="4" borderId="0" xfId="0" applyFont="1" applyFill="1" applyAlignment="1">
      <alignment horizontal="left" vertical="center" wrapText="1"/>
    </xf>
    <xf numFmtId="40" fontId="9" fillId="4" borderId="0" xfId="0" applyFont="1" applyFill="1" applyAlignment="1">
      <alignment horizontal="left" vertical="center"/>
    </xf>
    <xf numFmtId="40" fontId="0" fillId="7" borderId="0" xfId="0" applyFill="1">
      <alignment horizontal="center" vertical="center" wrapText="1"/>
    </xf>
    <xf numFmtId="40" fontId="14" fillId="7" borderId="0" xfId="0" applyFont="1" applyFill="1" applyAlignment="1">
      <alignment wrapText="1"/>
    </xf>
    <xf numFmtId="40" fontId="14" fillId="7" borderId="0" xfId="0" applyFont="1" applyFill="1">
      <alignment horizontal="center" vertical="center" wrapText="1"/>
    </xf>
    <xf numFmtId="167" fontId="14" fillId="7" borderId="0" xfId="0" applyNumberFormat="1" applyFont="1" applyFill="1" applyAlignment="1">
      <alignment horizontal="left" wrapText="1"/>
    </xf>
    <xf numFmtId="40" fontId="15" fillId="7" borderId="0" xfId="0" applyFont="1" applyFill="1" applyAlignment="1">
      <alignment horizontal="left" vertical="top" wrapText="1" indent="1"/>
    </xf>
    <xf numFmtId="40" fontId="16" fillId="7" borderId="0" xfId="0" applyFont="1" applyFill="1" applyAlignment="1">
      <alignment vertical="center"/>
    </xf>
    <xf numFmtId="40" fontId="9" fillId="7" borderId="0" xfId="0" applyFont="1" applyFill="1">
      <alignment horizontal="center" vertical="center" wrapText="1"/>
    </xf>
    <xf numFmtId="40" fontId="17" fillId="0" borderId="0" xfId="5" applyNumberFormat="1" applyFont="1" applyFill="1" applyAlignment="1">
      <alignment horizontal="left" vertical="center" indent="1"/>
    </xf>
    <xf numFmtId="40" fontId="17" fillId="0" borderId="0" xfId="5" applyNumberFormat="1" applyFont="1" applyFill="1" applyAlignment="1">
      <alignment horizontal="left" vertical="center" wrapText="1" indent="1"/>
    </xf>
    <xf numFmtId="40" fontId="18" fillId="0" borderId="0" xfId="13" applyNumberFormat="1" applyFont="1">
      <alignment horizontal="left" vertical="center" indent="1"/>
    </xf>
    <xf numFmtId="40" fontId="18" fillId="0" borderId="0" xfId="0" applyFont="1" applyAlignment="1">
      <alignment horizontal="left" vertical="center" wrapText="1" indent="1"/>
    </xf>
    <xf numFmtId="40" fontId="19" fillId="0" borderId="0" xfId="0" applyFont="1" applyAlignment="1">
      <alignment horizontal="left" vertical="center" wrapText="1" indent="1"/>
    </xf>
    <xf numFmtId="40" fontId="20" fillId="7" borderId="0" xfId="0" applyFont="1" applyFill="1" applyAlignment="1">
      <alignment horizontal="left"/>
    </xf>
    <xf numFmtId="40" fontId="21" fillId="0" borderId="0" xfId="5" applyNumberFormat="1" applyFont="1" applyFill="1" applyAlignment="1">
      <alignment horizontal="left" vertical="center" indent="1"/>
    </xf>
    <xf numFmtId="40" fontId="21" fillId="0" borderId="0" xfId="5" applyNumberFormat="1" applyFont="1" applyFill="1" applyAlignment="1">
      <alignment horizontal="left" vertical="center" wrapText="1" indent="1"/>
    </xf>
    <xf numFmtId="40" fontId="16" fillId="7" borderId="0" xfId="0" applyFont="1" applyFill="1" applyAlignment="1">
      <alignment horizontal="left" vertical="center"/>
    </xf>
    <xf numFmtId="0" fontId="19" fillId="0" borderId="0" xfId="13" applyFont="1" applyAlignment="1">
      <alignment horizontal="left" vertical="center" wrapText="1" indent="1"/>
    </xf>
    <xf numFmtId="40" fontId="0" fillId="7" borderId="0" xfId="0" applyFill="1" applyAlignment="1">
      <alignment horizontal="left" vertical="center" wrapText="1" indent="1"/>
    </xf>
    <xf numFmtId="40" fontId="0" fillId="0" borderId="0" xfId="0" applyAlignment="1">
      <alignment horizontal="left" vertical="center" wrapText="1" indent="1"/>
    </xf>
    <xf numFmtId="40" fontId="15" fillId="7" borderId="0" xfId="0" applyFont="1" applyFill="1" applyAlignment="1">
      <alignment horizontal="left" wrapText="1" indent="1"/>
    </xf>
    <xf numFmtId="40" fontId="0" fillId="4" borderId="0" xfId="0" applyFill="1" applyAlignment="1">
      <alignment horizontal="left" vertical="center" wrapText="1" indent="1"/>
    </xf>
    <xf numFmtId="40" fontId="13" fillId="7" borderId="0" xfId="0" applyFont="1" applyFill="1" applyAlignment="1">
      <alignment horizontal="left" wrapText="1" indent="1"/>
    </xf>
    <xf numFmtId="40" fontId="13" fillId="7" borderId="0" xfId="0" applyFont="1" applyFill="1" applyAlignment="1">
      <alignment horizontal="left" vertical="center" wrapText="1" indent="1"/>
    </xf>
    <xf numFmtId="40" fontId="0" fillId="0" borderId="0" xfId="0" applyAlignment="1">
      <alignment horizontal="left" vertical="center" indent="1"/>
    </xf>
    <xf numFmtId="40" fontId="0" fillId="4" borderId="0" xfId="0" applyFill="1" applyAlignment="1">
      <alignment horizontal="left" vertical="center" indent="1"/>
    </xf>
    <xf numFmtId="40" fontId="18" fillId="0" borderId="0" xfId="13" applyNumberFormat="1" applyFont="1" applyAlignment="1">
      <alignment horizontal="left" vertical="center" wrapText="1" indent="1"/>
    </xf>
    <xf numFmtId="40" fontId="0" fillId="4" borderId="0" xfId="0" applyFill="1">
      <alignment horizontal="center" vertical="center" wrapText="1"/>
    </xf>
    <xf numFmtId="0" fontId="22" fillId="0" borderId="0" xfId="1" applyFont="1"/>
    <xf numFmtId="40" fontId="20" fillId="7" borderId="0" xfId="0" applyFont="1" applyFill="1" applyAlignment="1">
      <alignment horizontal="left" vertical="center"/>
    </xf>
    <xf numFmtId="40" fontId="20" fillId="7" borderId="0" xfId="0" applyFont="1" applyFill="1" applyAlignment="1">
      <alignment horizontal="left" wrapText="1"/>
    </xf>
    <xf numFmtId="40" fontId="0" fillId="0" borderId="0" xfId="0" applyAlignment="1">
      <alignment horizontal="left" vertical="center" wrapText="1"/>
    </xf>
    <xf numFmtId="40" fontId="0" fillId="7" borderId="0" xfId="0" applyFill="1" applyAlignment="1">
      <alignment horizontal="left" vertical="center" wrapText="1"/>
    </xf>
    <xf numFmtId="40" fontId="14" fillId="7" borderId="0" xfId="0" applyFont="1" applyFill="1" applyAlignment="1">
      <alignment horizontal="left" wrapText="1"/>
    </xf>
    <xf numFmtId="40" fontId="9" fillId="7" borderId="0" xfId="0" applyFont="1" applyFill="1" applyAlignment="1">
      <alignment horizontal="left" vertical="center" wrapText="1"/>
    </xf>
    <xf numFmtId="40" fontId="3" fillId="7" borderId="0" xfId="0" applyFont="1" applyFill="1" applyAlignment="1">
      <alignment horizontal="left" vertical="center" wrapText="1"/>
    </xf>
    <xf numFmtId="40" fontId="23" fillId="7" borderId="0" xfId="0" applyFont="1" applyFill="1" applyAlignment="1">
      <alignment horizontal="left" vertical="center" wrapText="1"/>
    </xf>
    <xf numFmtId="0" fontId="3" fillId="7" borderId="0" xfId="3" applyFont="1" applyFill="1" applyBorder="1" applyAlignment="1">
      <alignment horizontal="left" vertical="center"/>
    </xf>
    <xf numFmtId="40" fontId="0" fillId="0" borderId="0" xfId="0" applyAlignment="1">
      <alignment vertical="center"/>
    </xf>
    <xf numFmtId="40" fontId="16" fillId="7" borderId="0" xfId="0" applyFont="1" applyFill="1" applyAlignment="1">
      <alignment horizontal="left" vertical="center" wrapText="1"/>
    </xf>
    <xf numFmtId="40" fontId="19" fillId="0" borderId="0" xfId="0" applyFont="1" applyAlignment="1">
      <alignment horizontal="left" vertical="center" indent="1"/>
    </xf>
    <xf numFmtId="40" fontId="3" fillId="0" borderId="0" xfId="0" applyFont="1">
      <alignment horizontal="center" vertical="center" wrapText="1"/>
    </xf>
    <xf numFmtId="0" fontId="3" fillId="0" borderId="0" xfId="3" applyFont="1" applyFill="1" applyAlignment="1">
      <alignment vertical="center"/>
    </xf>
    <xf numFmtId="40" fontId="17" fillId="0" borderId="0" xfId="0" applyFont="1">
      <alignment horizontal="center" vertical="center" wrapText="1"/>
    </xf>
    <xf numFmtId="40" fontId="17" fillId="0" borderId="0" xfId="0" applyFont="1" applyAlignment="1">
      <alignment horizontal="left" vertical="center" wrapText="1" indent="1"/>
    </xf>
    <xf numFmtId="40" fontId="24" fillId="0" borderId="0" xfId="0" applyFont="1" applyAlignment="1">
      <alignment horizontal="left" vertical="center" wrapText="1" indent="1"/>
    </xf>
    <xf numFmtId="40" fontId="24" fillId="0" borderId="0" xfId="0" applyFont="1">
      <alignment horizontal="center" vertical="center" wrapText="1"/>
    </xf>
    <xf numFmtId="40" fontId="24" fillId="0" borderId="0" xfId="0" applyFont="1" applyAlignment="1">
      <alignment horizontal="left" vertical="center" wrapText="1"/>
    </xf>
    <xf numFmtId="168" fontId="18" fillId="0" borderId="0" xfId="15" applyNumberFormat="1" applyFont="1" applyAlignment="1">
      <alignment horizontal="left" vertical="center" wrapText="1" indent="1"/>
    </xf>
    <xf numFmtId="168" fontId="19" fillId="0" borderId="0" xfId="15" applyNumberFormat="1" applyFont="1" applyFill="1" applyBorder="1" applyAlignment="1">
      <alignment horizontal="left" vertical="center" wrapText="1" indent="1"/>
    </xf>
    <xf numFmtId="168" fontId="19" fillId="0" borderId="0" xfId="15" applyNumberFormat="1" applyFont="1" applyAlignment="1">
      <alignment horizontal="left" vertical="center" wrapText="1" indent="1"/>
    </xf>
    <xf numFmtId="169" fontId="25" fillId="0" borderId="0" xfId="15" applyNumberFormat="1" applyFont="1" applyAlignment="1">
      <alignment horizontal="left" vertical="center" wrapText="1" indent="1"/>
    </xf>
    <xf numFmtId="169" fontId="18" fillId="0" borderId="0" xfId="15" applyNumberFormat="1" applyFont="1" applyAlignment="1">
      <alignment horizontal="left" vertical="center" wrapText="1" indent="1"/>
    </xf>
    <xf numFmtId="169" fontId="19" fillId="0" borderId="0" xfId="15" applyNumberFormat="1" applyFont="1" applyAlignment="1">
      <alignment horizontal="left" vertical="center" wrapText="1" indent="1"/>
    </xf>
    <xf numFmtId="169" fontId="19" fillId="0" borderId="0" xfId="0" applyNumberFormat="1" applyFont="1" applyAlignment="1">
      <alignment horizontal="left" vertical="center" wrapText="1" indent="1"/>
    </xf>
    <xf numFmtId="168" fontId="18" fillId="0" borderId="0" xfId="0" applyNumberFormat="1" applyFont="1" applyAlignment="1">
      <alignment horizontal="left" vertical="center" wrapText="1" indent="1"/>
    </xf>
    <xf numFmtId="168" fontId="19" fillId="0" borderId="0" xfId="0" applyNumberFormat="1" applyFont="1" applyAlignment="1">
      <alignment horizontal="left" vertical="center" wrapText="1" indent="1"/>
    </xf>
    <xf numFmtId="168" fontId="18" fillId="0" borderId="0" xfId="15" applyNumberFormat="1" applyFont="1" applyFill="1" applyAlignment="1">
      <alignment horizontal="left" vertical="center" wrapText="1" indent="1"/>
    </xf>
    <xf numFmtId="168" fontId="19" fillId="0" borderId="0" xfId="15" applyNumberFormat="1" applyFont="1" applyFill="1" applyAlignment="1">
      <alignment horizontal="left" vertical="center" wrapText="1" indent="1"/>
    </xf>
  </cellXfs>
  <cellStyles count="16">
    <cellStyle name="20% - Accent5" xfId="4" builtinId="46"/>
    <cellStyle name="60% - Accent4" xfId="3" builtinId="44" customBuiltin="1"/>
    <cellStyle name="Comma" xfId="10" builtinId="3" customBuiltin="1"/>
    <cellStyle name="Currency" xfId="15" builtinId="4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Input" xfId="13" builtinId="20" customBuiltin="1"/>
    <cellStyle name="Normal" xfId="0" builtinId="0" customBuiltin="1"/>
    <cellStyle name="Output" xfId="14" builtinId="21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10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0.00_ ;[Red]\-0.00\ "/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0.00_ ;[Red]\-0.00\ "/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0.00_ ;[Red]\-0.00\ "/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0.00_ ;[Red]\-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0.00_ ;[Red]\-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0.00_ ;[Red]\-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 ;[Red]\-#,##0.00\ 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color auto="1"/>
      </font>
      <fill>
        <patternFill patternType="solid">
          <fgColor theme="5"/>
          <bgColor theme="5"/>
        </patternFill>
      </fill>
      <border>
        <bottom style="thin">
          <color theme="4" tint="0.59996337778862885"/>
        </bottom>
      </border>
    </dxf>
    <dxf>
      <fill>
        <patternFill patternType="none">
          <bgColor auto="1"/>
        </patternFill>
      </fill>
      <border>
        <bottom style="thin">
          <color theme="4" tint="0.59996337778862885"/>
        </bottom>
      </border>
    </dxf>
    <dxf>
      <font>
        <b/>
        <i val="0"/>
        <color auto="1"/>
      </font>
      <fill>
        <patternFill patternType="solid">
          <fgColor auto="1"/>
          <bgColor theme="4" tint="0.79998168889431442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1"/>
      </font>
    </dxf>
  </dxfs>
  <tableStyles count="1" defaultTableStyle="Monthly Budget" defaultPivotStyle="PivotStyleLight16">
    <tableStyle name="Monthly Budget" pivot="0" count="5" xr9:uid="{00000000-0011-0000-FFFF-FFFF00000000}">
      <tableStyleElement type="wholeTable" dxfId="99"/>
      <tableStyleElement type="headerRow" dxfId="98"/>
      <tableStyleElement type="totalRow" dxfId="97"/>
      <tableStyleElement type="firstRowStripe" dxfId="96"/>
      <tableStyleElement type="secondRowStripe" dxfId="95"/>
    </tableStyle>
  </tableStyles>
  <colors>
    <mruColors>
      <color rgb="FFEEEADE"/>
      <color rgb="FF44382C"/>
      <color rgb="FFFFFDF8"/>
      <color rgb="FFA7937B"/>
      <color rgb="FFF2F2F2"/>
      <color rgb="FF5A5044"/>
      <color rgb="FF252525"/>
      <color rgb="FFCD9620"/>
      <color rgb="FFF4444F"/>
      <color rgb="FF2D3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accent1"/>
                </a:solidFill>
                <a:latin typeface="+mj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r>
              <a:rPr lang="en-US" sz="3600" b="1" i="0">
                <a:solidFill>
                  <a:schemeClr val="accent1"/>
                </a:solidFill>
                <a:latin typeface="+mj-lt"/>
                <a:ea typeface="Source Sans Pro" panose="020B0503030403020204" pitchFamily="34" charset="0"/>
                <a:cs typeface="Calibri" panose="020F0502020204030204" pitchFamily="34" charset="0"/>
              </a:rPr>
              <a:t>Budget overview</a:t>
            </a:r>
          </a:p>
        </c:rich>
      </c:tx>
      <c:layout>
        <c:manualLayout>
          <c:xMode val="edge"/>
          <c:yMode val="edge"/>
          <c:x val="8.4301559079308624E-3"/>
          <c:y val="4.9694046228000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accent1"/>
              </a:solidFill>
              <a:latin typeface="+mj-lt"/>
              <a:ea typeface="Source Sans Pro" panose="020B050303040302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293322205692034E-2"/>
          <c:y val="0.23775842764580746"/>
          <c:w val="0.85663618660570651"/>
          <c:h val="0.59251777224670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summary'!$D$6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'Budget summary'!$C$7:$C$10</c:f>
              <c:strCache>
                <c:ptCount val="3"/>
                <c:pt idx="0">
                  <c:v>Income</c:v>
                </c:pt>
                <c:pt idx="1">
                  <c:v>Honoraria</c:v>
                </c:pt>
                <c:pt idx="2">
                  <c:v>Expense Summary</c:v>
                </c:pt>
              </c:strCache>
            </c:strRef>
          </c:cat>
          <c:val>
            <c:numRef>
              <c:f>'Budget summary'!$D$7:$D$10</c:f>
              <c:numCache>
                <c:formatCode>#,##0.00_ ;[Red]\-#,##0.00\ </c:formatCode>
                <c:ptCount val="3"/>
                <c:pt idx="0">
                  <c:v>237297</c:v>
                </c:pt>
                <c:pt idx="1">
                  <c:v>-23950</c:v>
                </c:pt>
                <c:pt idx="2">
                  <c:v>-206591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5-4314-A69D-155A58038B55}"/>
            </c:ext>
          </c:extLst>
        </c:ser>
        <c:ser>
          <c:idx val="1"/>
          <c:order val="1"/>
          <c:tx>
            <c:strRef>
              <c:f>'Budget summary'!$E$6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'Budget summary'!$C$7:$C$10</c:f>
              <c:strCache>
                <c:ptCount val="3"/>
                <c:pt idx="0">
                  <c:v>Income</c:v>
                </c:pt>
                <c:pt idx="1">
                  <c:v>Honoraria</c:v>
                </c:pt>
                <c:pt idx="2">
                  <c:v>Expense Summary</c:v>
                </c:pt>
              </c:strCache>
            </c:strRef>
          </c:cat>
          <c:val>
            <c:numRef>
              <c:f>'Budget summary'!$E$7:$E$10</c:f>
              <c:numCache>
                <c:formatCode>#,##0.00_ ;[Red]\-#,##0.00\ </c:formatCode>
                <c:ptCount val="3"/>
                <c:pt idx="0">
                  <c:v>210685.43</c:v>
                </c:pt>
                <c:pt idx="1">
                  <c:v>-23950</c:v>
                </c:pt>
                <c:pt idx="2">
                  <c:v>-3919.45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5-4314-A69D-155A5803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90000"/>
                  <a:alpha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99968552318057"/>
          <c:y val="0.91561145325284587"/>
          <c:w val="0.17886699268610576"/>
          <c:h val="3.7462183462776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Source Sans Pro" panose="020B0503030403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11</xdr:row>
      <xdr:rowOff>457200</xdr:rowOff>
    </xdr:from>
    <xdr:to>
      <xdr:col>6</xdr:col>
      <xdr:colOff>0</xdr:colOff>
      <xdr:row>13</xdr:row>
      <xdr:rowOff>361951</xdr:rowOff>
    </xdr:to>
    <xdr:graphicFrame macro="">
      <xdr:nvGraphicFramePr>
        <xdr:cNvPr id="6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3057CD98-457C-4931-9D13-24F72D04B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8AA8B5-B642-44B0-8FF6-B12CE9F901F6}" name="Table2" displayName="Table2" ref="C6:F10" totalsRowCount="1" headerRowDxfId="94" dataDxfId="93" totalsRowDxfId="92" headerRowCellStyle="Heading 1">
  <autoFilter ref="C6:F9" xr:uid="{47B637C1-818B-4BED-881E-062FC4FD7398}"/>
  <tableColumns count="4">
    <tableColumn id="1" xr3:uid="{1F3E0BC5-EBB5-4EC3-A58F-4EC1C5D18EDD}" name="Budget area" totalsRowLabel="Balance (income minus expenses)" dataDxfId="91" totalsRowDxfId="90" dataCellStyle="Input"/>
    <tableColumn id="2" xr3:uid="{97762248-6052-4C5E-B7CD-C84E3157FFDA}" name="Estimated" totalsRowFunction="custom" dataDxfId="89" totalsRowDxfId="88" dataCellStyle="Currency" totalsRowCellStyle="Currency">
      <totalsRowFormula>SUM(Table2[Estimated])</totalsRowFormula>
    </tableColumn>
    <tableColumn id="3" xr3:uid="{4B6AA04A-DDC8-43A6-A51B-A82E80AD793F}" name="Actual" totalsRowFunction="custom" dataDxfId="87" totalsRowDxfId="86" dataCellStyle="Currency" totalsRowCellStyle="Currency">
      <totalsRowFormula>SUM(Table2[Actual])</totalsRowFormula>
    </tableColumn>
    <tableColumn id="4" xr3:uid="{421FA974-B591-456B-8462-4F763A15D3C5}" name="Difference" totalsRowFunction="custom" dataDxfId="85" totalsRowDxfId="84" dataCellStyle="Currency" totalsRowCellStyle="Currency">
      <totalsRowFormula>Table2[[#Totals],[Estimated]]-Table2[[#Totals],[Actual]]</totalsRowFormula>
    </tableColumn>
  </tableColumns>
  <tableStyleInfo name="Monthly Budge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C6:F14" totalsRowCount="1" headerRowDxfId="83" dataDxfId="82" totalsRowDxfId="81" headerRowCellStyle="Heading 1" dataCellStyle="Normal" totalsRowCellStyle="Normal">
  <autoFilter ref="C6:F13" xr:uid="{00000000-0009-0000-0100-000003000000}"/>
  <tableColumns count="4">
    <tableColumn id="1" xr3:uid="{00000000-0010-0000-0200-000001000000}" name="Income" totalsRowLabel="Total income" dataDxfId="80" totalsRowDxfId="79" dataCellStyle="Input"/>
    <tableColumn id="2" xr3:uid="{00000000-0010-0000-0200-000002000000}" name="Estimated" totalsRowFunction="sum" dataDxfId="78" totalsRowDxfId="77" dataCellStyle="Currency" totalsRowCellStyle="Currency">
      <calculatedColumnFormula>53000+80000</calculatedColumnFormula>
    </tableColumn>
    <tableColumn id="3" xr3:uid="{00000000-0010-0000-0200-000003000000}" name="Actual" totalsRowFunction="sum" dataDxfId="76" totalsRowDxfId="75" dataCellStyle="Currency" totalsRowCellStyle="Currency"/>
    <tableColumn id="4" xr3:uid="{00000000-0010-0000-0200-000004000000}" name="Difference" totalsRowFunction="sum" dataDxfId="74" totalsRowDxfId="73" dataCellStyle="Currency" totalsRowCellStyle="Currency">
      <calculatedColumnFormula>Income[[#This Row],[Actual]]-Income[[#This Row],[Estimated]]</calculatedColumnFormula>
    </tableColumn>
  </tableColumns>
  <tableStyleInfo name="Monthly Budge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9CDD0E-0899-4103-A565-2A58004B1473}" name="OperatingExpenses2" displayName="OperatingExpenses2" ref="C6:F28" totalsRowCount="1" headerRowDxfId="72" dataDxfId="71" totalsRowDxfId="70" headerRowCellStyle="Heading 1" dataCellStyle="Normal" totalsRowCellStyle="Normal">
  <autoFilter ref="C6:F27" xr:uid="{00000000-0009-0000-0100-000009000000}"/>
  <sortState xmlns:xlrd2="http://schemas.microsoft.com/office/spreadsheetml/2017/richdata2" ref="C7:F28">
    <sortCondition ref="C19:C40"/>
  </sortState>
  <tableColumns count="4">
    <tableColumn id="1" xr3:uid="{118DA22B-5338-4E20-B0A2-2559BAC64B07}" name="Expenses" totalsRowLabel="Total operating expenses" dataDxfId="69" totalsRowDxfId="68" dataCellStyle="Input"/>
    <tableColumn id="2" xr3:uid="{AB99B69C-F437-412B-92C2-295E8BBC6680}" name="Estimated" totalsRowFunction="sum" dataDxfId="67" totalsRowDxfId="66" dataCellStyle="Currency">
      <calculatedColumnFormula>OperatingExpenses[[#Totals],[Estimated]]</calculatedColumnFormula>
    </tableColumn>
    <tableColumn id="3" xr3:uid="{0631FBB2-4335-4C85-9985-2A358C951388}" name="Actual" totalsRowFunction="sum" dataDxfId="65" totalsRowDxfId="64" dataCellStyle="Currency">
      <calculatedColumnFormula>OperatingExpenses[[#Totals],[Actual]]</calculatedColumnFormula>
    </tableColumn>
    <tableColumn id="4" xr3:uid="{9CB3F2AA-BE55-4FE9-BFC8-8D9B68C2CFFE}" name="Difference" totalsRowFunction="sum" dataDxfId="63" totalsRowDxfId="62" dataCellStyle="Currency">
      <calculatedColumnFormula>OperatingExpenses2[[#This Row],[Estimated]]-OperatingExpenses2[[#This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9F49825-9933-4C3F-84CC-31E1D97CC9B6}" name="OperatingExpenses27" displayName="OperatingExpenses27" ref="C6:F28" totalsRowCount="1" headerRowDxfId="61" dataDxfId="60" totalsRowDxfId="59" headerRowCellStyle="Heading 1" dataCellStyle="Normal" totalsRowCellStyle="Normal">
  <autoFilter ref="C6:F27" xr:uid="{00000000-0009-0000-0100-000009000000}"/>
  <sortState xmlns:xlrd2="http://schemas.microsoft.com/office/spreadsheetml/2017/richdata2" ref="C7:F28">
    <sortCondition ref="C19:C40"/>
  </sortState>
  <tableColumns count="4">
    <tableColumn id="1" xr3:uid="{F2E148CC-08C3-4B23-A3E1-0265F735CDC5}" name="Expenses" totalsRowLabel="Total operating expenses" dataDxfId="58" totalsRowDxfId="57" dataCellStyle="Input"/>
    <tableColumn id="2" xr3:uid="{0B145E0F-7CB2-43D7-BBC9-9D02929AA10A}" name="Estimated" totalsRowFunction="sum" dataDxfId="56" totalsRowDxfId="55" dataCellStyle="Currency">
      <calculatedColumnFormula>OperatingExpenses[[#Totals],[Estimated]]</calculatedColumnFormula>
    </tableColumn>
    <tableColumn id="3" xr3:uid="{33461095-85A7-4E4F-8EC7-95223068279A}" name="Actual" totalsRowFunction="sum" dataDxfId="54" totalsRowDxfId="53" dataCellStyle="Currency"/>
    <tableColumn id="4" xr3:uid="{49B1E623-D90F-4C15-834A-46B1511B1E8E}" name="Difference" totalsRowFunction="sum" dataDxfId="52" totalsRowDxfId="51" dataCellStyle="Currency">
      <calculatedColumnFormula>OperatingExpenses27[[#This Row],[Estimated]]-OperatingExpenses27[[#This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C6:F11" totalsRowCount="1" headerRowDxfId="50" dataDxfId="49" totalsRowDxfId="48" headerRowCellStyle="Heading 1" dataCellStyle="Normal" totalsRowCellStyle="Normal">
  <autoFilter ref="C6:F10" xr:uid="{00000000-0009-0000-0100-000009000000}"/>
  <sortState xmlns:xlrd2="http://schemas.microsoft.com/office/spreadsheetml/2017/richdata2" ref="C12:F18">
    <sortCondition ref="C11:C23"/>
  </sortState>
  <tableColumns count="4">
    <tableColumn id="1" xr3:uid="{00000000-0010-0000-0400-000001000000}" name="Expenses" totalsRowLabel="Total Council Retreat Spending" dataDxfId="47" totalsRowDxfId="3" dataCellStyle="Input"/>
    <tableColumn id="2" xr3:uid="{00000000-0010-0000-0400-000002000000}" name="Estimated" totalsRowFunction="sum" dataDxfId="46" totalsRowDxfId="2" dataCellStyle="Currency"/>
    <tableColumn id="3" xr3:uid="{00000000-0010-0000-0400-000003000000}" name="Actual" totalsRowFunction="sum" dataDxfId="45" totalsRowDxfId="1" dataCellStyle="Currency"/>
    <tableColumn id="4" xr3:uid="{00000000-0010-0000-0400-000004000000}" name="Difference" totalsRowFunction="sum" dataDxfId="44" totalsRowDxfId="0" dataCellStyle="Currency">
      <calculatedColumnFormula>OperatingExpenses[[#This Row],[Actual]]-OperatingExpenses[[#This Row],[Estimated]]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A54150-0AC6-4EF0-86CB-A4F7C3BB76EB}" name="OperatingExpenses25" displayName="OperatingExpenses25" ref="C6:F27" totalsRowCount="1" headerRowDxfId="43" dataDxfId="42" totalsRowDxfId="41" headerRowCellStyle="Heading 1" dataCellStyle="Normal" totalsRowCellStyle="Normal">
  <autoFilter ref="C6:F26" xr:uid="{00000000-0009-0000-0100-000009000000}"/>
  <sortState xmlns:xlrd2="http://schemas.microsoft.com/office/spreadsheetml/2017/richdata2" ref="C7:F27">
    <sortCondition ref="C18:C39"/>
  </sortState>
  <tableColumns count="4">
    <tableColumn id="1" xr3:uid="{69809D71-3AD5-46CE-8B44-52A70EE57217}" name="Expenses" totalsRowLabel="Total operating expenses" dataDxfId="40" totalsRowDxfId="39" dataCellStyle="Input"/>
    <tableColumn id="2" xr3:uid="{5D1A150C-C388-4286-AF0C-71DBD2AE28B0}" name="Estimated" totalsRowFunction="sum" dataDxfId="38" totalsRowDxfId="37" dataCellStyle="Normal"/>
    <tableColumn id="3" xr3:uid="{EC1E8CBD-0A7A-44ED-A120-3E4C9E8167DF}" name="Actual" totalsRowFunction="sum" dataDxfId="36" totalsRowDxfId="35" dataCellStyle="Normal"/>
    <tableColumn id="4" xr3:uid="{154B7BDB-7117-4E5B-9307-72BFDBC28F8C}" name="Difference" totalsRowFunction="sum" dataDxfId="34" totalsRowDxfId="33" dataCellStyle="Normal">
      <calculatedColumnFormula>OperatingExpenses25[[#This Row],[Estimated]]-OperatingExpenses25[[#This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E8D27D-AF5A-4CCA-9AE0-6EDB527EC4FF}" name="OperatingExpenses256" displayName="OperatingExpenses256" ref="C6:F27" totalsRowCount="1" headerRowDxfId="32" dataDxfId="31" totalsRowDxfId="30" headerRowCellStyle="Heading 1" dataCellStyle="Normal" totalsRowCellStyle="Normal">
  <autoFilter ref="C6:F26" xr:uid="{00000000-0009-0000-0100-000009000000}"/>
  <sortState xmlns:xlrd2="http://schemas.microsoft.com/office/spreadsheetml/2017/richdata2" ref="C7:F27">
    <sortCondition ref="C18:C39"/>
  </sortState>
  <tableColumns count="4">
    <tableColumn id="1" xr3:uid="{22D9DE4C-9076-45A1-9513-625A7F70B6A7}" name="Expenses" totalsRowLabel="Social Budget" dataDxfId="29" totalsRowDxfId="28" dataCellStyle="Input"/>
    <tableColumn id="2" xr3:uid="{7FE0C021-A662-43EE-912F-1883CB7B547E}" name="Estimated" totalsRowFunction="sum" dataDxfId="27" totalsRowDxfId="26" dataCellStyle="Normal"/>
    <tableColumn id="3" xr3:uid="{1C42F739-9138-45BC-BEED-E4FA19855AA1}" name="Actual" totalsRowFunction="sum" dataDxfId="25" totalsRowDxfId="24" dataCellStyle="Normal"/>
    <tableColumn id="4" xr3:uid="{9B7F6FD0-A143-40C1-8417-61D385719D26}" name="Difference" totalsRowFunction="sum" dataDxfId="23" totalsRowDxfId="22" dataCellStyle="Normal">
      <calculatedColumnFormula>OperatingExpenses256[[#This Row],[Estimated]]-OperatingExpenses256[[#This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C6:F25" totalsRowCount="1" headerRowDxfId="21" dataDxfId="20" totalsRowDxfId="19" headerRowCellStyle="Heading 1" dataCellStyle="Normal" totalsRowCellStyle="Normal">
  <autoFilter ref="C6:F24" xr:uid="{00000000-0009-0000-0100-000007000000}"/>
  <tableColumns count="4">
    <tableColumn id="1" xr3:uid="{00000000-0010-0000-0300-000001000000}" name="Expenses" totalsRowLabel="Total personnel expenses" dataDxfId="18" totalsRowDxfId="17" dataCellStyle="Input" totalsRowCellStyle="Input"/>
    <tableColumn id="2" xr3:uid="{00000000-0010-0000-0300-000002000000}" name="Estimated" totalsRowFunction="sum" dataDxfId="16" totalsRowDxfId="15" dataCellStyle="Currency"/>
    <tableColumn id="3" xr3:uid="{00000000-0010-0000-0300-000003000000}" name="Actual" totalsRowFunction="sum" dataDxfId="14" totalsRowDxfId="13" dataCellStyle="Currency"/>
    <tableColumn id="5" xr3:uid="{00000000-0010-0000-0300-000005000000}" name="Difference" totalsRowFunction="sum" dataDxfId="12" totalsRowDxfId="11" dataCellStyle="Currency">
      <calculatedColumnFormula>PersonnelExpenses[[#This Row],[Estimated]]-PersonnelExpenses[[#This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TM1178501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36EF3"/>
      </a:accent1>
      <a:accent2>
        <a:srgbClr val="F7FAFC"/>
      </a:accent2>
      <a:accent3>
        <a:srgbClr val="CFD3E6"/>
      </a:accent3>
      <a:accent4>
        <a:srgbClr val="E85527"/>
      </a:accent4>
      <a:accent5>
        <a:srgbClr val="611CE8"/>
      </a:accent5>
      <a:accent6>
        <a:srgbClr val="F5D31B"/>
      </a:accent6>
      <a:hlink>
        <a:srgbClr val="0563C1"/>
      </a:hlink>
      <a:folHlink>
        <a:srgbClr val="954F72"/>
      </a:folHlink>
    </a:clrScheme>
    <a:fontScheme name="Custom 53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2:V46"/>
  <sheetViews>
    <sheetView showGridLines="0" zoomScaleNormal="100" workbookViewId="0">
      <selection activeCell="O9" sqref="O9"/>
    </sheetView>
  </sheetViews>
  <sheetFormatPr defaultColWidth="8.85546875" defaultRowHeight="16.5" customHeight="1" x14ac:dyDescent="0.25"/>
  <cols>
    <col min="1" max="2" width="2.42578125" customWidth="1"/>
    <col min="3" max="3" width="45.85546875" style="35" customWidth="1"/>
    <col min="4" max="6" width="20.85546875" style="35" customWidth="1"/>
    <col min="7" max="8" width="2.42578125" customWidth="1"/>
    <col min="13" max="13" width="9.85546875" bestFit="1" customWidth="1"/>
    <col min="20" max="20" width="5.85546875" customWidth="1"/>
    <col min="21" max="21" width="4.28515625" customWidth="1"/>
  </cols>
  <sheetData>
    <row r="2" spans="1:21" ht="16.5" customHeight="1" x14ac:dyDescent="0.25">
      <c r="B2" s="17"/>
      <c r="C2" s="34"/>
      <c r="D2" s="34"/>
      <c r="E2" s="34"/>
      <c r="F2" s="34"/>
      <c r="G2" s="17"/>
    </row>
    <row r="3" spans="1:21" s="35" customFormat="1" ht="60" customHeight="1" x14ac:dyDescent="0.35">
      <c r="B3" s="34"/>
      <c r="C3" s="45" t="s">
        <v>12</v>
      </c>
      <c r="D3" s="36"/>
      <c r="E3" s="34"/>
      <c r="F3" s="34"/>
      <c r="G3" s="34"/>
      <c r="U3" s="37"/>
    </row>
    <row r="4" spans="1:21" s="35" customFormat="1" ht="30" customHeight="1" x14ac:dyDescent="0.35">
      <c r="B4" s="34"/>
      <c r="C4" s="21" t="s">
        <v>53</v>
      </c>
      <c r="D4" s="36"/>
      <c r="E4" s="34"/>
      <c r="F4" s="34"/>
      <c r="G4" s="34"/>
      <c r="U4" s="37"/>
    </row>
    <row r="5" spans="1:21" s="35" customFormat="1" ht="20.100000000000001" customHeight="1" x14ac:dyDescent="0.7">
      <c r="B5" s="34"/>
      <c r="C5" s="38"/>
      <c r="D5" s="39"/>
      <c r="E5" s="34"/>
      <c r="F5" s="34"/>
      <c r="G5" s="34"/>
      <c r="U5" s="37"/>
    </row>
    <row r="6" spans="1:21" s="40" customFormat="1" ht="40.15" customHeight="1" x14ac:dyDescent="0.25">
      <c r="C6" s="30" t="s">
        <v>6</v>
      </c>
      <c r="D6" s="31" t="s">
        <v>2</v>
      </c>
      <c r="E6" s="31" t="s">
        <v>3</v>
      </c>
      <c r="F6" s="31" t="s">
        <v>4</v>
      </c>
      <c r="U6" s="41"/>
    </row>
    <row r="7" spans="1:21" ht="40.15" customHeight="1" x14ac:dyDescent="0.25">
      <c r="C7" s="42" t="s">
        <v>0</v>
      </c>
      <c r="D7" s="64">
        <f>Income[[#Totals],[Estimated]]</f>
        <v>237297</v>
      </c>
      <c r="E7" s="64">
        <f>Income[[#Totals],[Actual]]</f>
        <v>210685.43</v>
      </c>
      <c r="F7" s="65">
        <f>IF('Budget summary'!$C7="Income",'Budget summary'!$E7-'Budget summary'!$D7,'Budget summary'!$D7-'Budget summary'!$E7)</f>
        <v>-26611.570000000007</v>
      </c>
      <c r="U7" s="43"/>
    </row>
    <row r="8" spans="1:21" ht="40.15" customHeight="1" x14ac:dyDescent="0.25">
      <c r="C8" s="42" t="s">
        <v>13</v>
      </c>
      <c r="D8" s="64">
        <f>PersonnelExpenses[[#Totals],[Estimated]]</f>
        <v>-23950</v>
      </c>
      <c r="E8" s="64">
        <v>-23950</v>
      </c>
      <c r="F8" s="65">
        <f>IF('Budget summary'!$C8="Income",'Budget summary'!$E8-'Budget summary'!$D8,'Budget summary'!$D8-'Budget summary'!$E8)</f>
        <v>0</v>
      </c>
      <c r="U8" s="43"/>
    </row>
    <row r="9" spans="1:21" ht="40.15" customHeight="1" x14ac:dyDescent="0.25">
      <c r="A9" t="s">
        <v>1</v>
      </c>
      <c r="C9" s="42" t="s">
        <v>64</v>
      </c>
      <c r="D9" s="64">
        <f>OperatingExpenses2[[#Totals],[Estimated]]</f>
        <v>-206591</v>
      </c>
      <c r="E9" s="64">
        <f>OperatingExpenses[[#Totals],[Actual]]</f>
        <v>-3919.45</v>
      </c>
      <c r="F9" s="65">
        <f>IF('Budget summary'!$C9="Income",'Budget summary'!$E9-'Budget summary'!$D9,'Budget summary'!$D9-'Budget summary'!$E9)</f>
        <v>-202671.55</v>
      </c>
      <c r="U9" s="43"/>
    </row>
    <row r="10" spans="1:21" ht="40.15" customHeight="1" x14ac:dyDescent="0.25">
      <c r="C10" s="27" t="s">
        <v>7</v>
      </c>
      <c r="D10" s="64">
        <f>SUM(Table2[Estimated])</f>
        <v>6756</v>
      </c>
      <c r="E10" s="64">
        <f>SUM(Table2[Actual])</f>
        <v>182815.97999999998</v>
      </c>
      <c r="F10" s="64">
        <f>Table2[[#Totals],[Estimated]]-Table2[[#Totals],[Actual]]</f>
        <v>-176059.97999999998</v>
      </c>
      <c r="U10" s="43"/>
    </row>
    <row r="11" spans="1:21" ht="20.100000000000001" customHeight="1" x14ac:dyDescent="0.25">
      <c r="U11" s="43"/>
    </row>
    <row r="12" spans="1:21" ht="409.5" customHeight="1" x14ac:dyDescent="0.25">
      <c r="U12" s="43"/>
    </row>
    <row r="13" spans="1:21" ht="24" customHeight="1" x14ac:dyDescent="0.25">
      <c r="U13" s="43"/>
    </row>
    <row r="14" spans="1:21" ht="30" customHeight="1" x14ac:dyDescent="0.25">
      <c r="U14" s="43"/>
    </row>
    <row r="15" spans="1:21" ht="29.1" customHeight="1" x14ac:dyDescent="0.25">
      <c r="U15" s="43"/>
    </row>
    <row r="16" spans="1:21" ht="29.1" customHeight="1" x14ac:dyDescent="0.25">
      <c r="U16" s="43"/>
    </row>
    <row r="17" spans="12:22" ht="29.1" customHeight="1" x14ac:dyDescent="0.25">
      <c r="U17" s="43"/>
    </row>
    <row r="18" spans="12:22" ht="29.1" customHeight="1" x14ac:dyDescent="0.25">
      <c r="U18" s="43"/>
    </row>
    <row r="19" spans="12:22" ht="29.1" customHeight="1" x14ac:dyDescent="0.25">
      <c r="U19" s="43"/>
    </row>
    <row r="20" spans="12:22" ht="29.1" customHeight="1" x14ac:dyDescent="0.25">
      <c r="L20" s="43"/>
    </row>
    <row r="21" spans="12:22" ht="29.25" customHeight="1" x14ac:dyDescent="0.25">
      <c r="R21" s="4"/>
      <c r="S21" s="4"/>
    </row>
    <row r="22" spans="12:22" ht="16.5" customHeight="1" x14ac:dyDescent="0.25">
      <c r="R22" s="4"/>
      <c r="S22" s="4"/>
    </row>
    <row r="23" spans="12:22" ht="16.5" customHeight="1" x14ac:dyDescent="0.25">
      <c r="R23" s="4"/>
      <c r="S23" s="4"/>
    </row>
    <row r="24" spans="12:22" ht="16.5" customHeight="1" x14ac:dyDescent="0.25">
      <c r="R24" s="4"/>
      <c r="S24" s="4"/>
    </row>
    <row r="25" spans="12:22" ht="16.5" customHeight="1" x14ac:dyDescent="0.25">
      <c r="R25" s="4"/>
      <c r="S25" s="4"/>
    </row>
    <row r="26" spans="12:22" ht="16.5" customHeight="1" x14ac:dyDescent="0.25">
      <c r="R26" s="4"/>
      <c r="S26" s="4"/>
    </row>
    <row r="27" spans="12:22" ht="16.5" customHeight="1" x14ac:dyDescent="0.25">
      <c r="R27" s="4"/>
      <c r="S27" s="4"/>
    </row>
    <row r="28" spans="12:22" ht="16.5" customHeight="1" x14ac:dyDescent="0.25">
      <c r="R28" s="4"/>
      <c r="S28" s="4"/>
    </row>
    <row r="29" spans="12:22" ht="16.5" customHeight="1" x14ac:dyDescent="0.25">
      <c r="R29" s="4"/>
      <c r="S29" s="4"/>
    </row>
    <row r="30" spans="12:22" ht="16.5" customHeight="1" x14ac:dyDescent="0.7">
      <c r="R30" s="4"/>
      <c r="S30" s="4"/>
      <c r="T30" s="44"/>
      <c r="U30" s="44"/>
      <c r="V30" s="44"/>
    </row>
    <row r="31" spans="12:22" ht="16.5" customHeight="1" x14ac:dyDescent="0.25">
      <c r="R31" s="4"/>
      <c r="S31" s="4"/>
    </row>
    <row r="32" spans="12:22" ht="16.5" customHeight="1" x14ac:dyDescent="0.25">
      <c r="R32" s="4"/>
      <c r="S32" s="4"/>
    </row>
    <row r="33" spans="18:19" ht="16.5" customHeight="1" x14ac:dyDescent="0.25">
      <c r="R33" s="4"/>
      <c r="S33" s="4"/>
    </row>
    <row r="34" spans="18:19" ht="16.5" customHeight="1" x14ac:dyDescent="0.25">
      <c r="R34" s="4"/>
      <c r="S34" s="4"/>
    </row>
    <row r="35" spans="18:19" ht="16.5" customHeight="1" x14ac:dyDescent="0.25">
      <c r="R35" s="4"/>
      <c r="S35" s="4"/>
    </row>
    <row r="36" spans="18:19" ht="16.5" customHeight="1" x14ac:dyDescent="0.25">
      <c r="R36" s="4"/>
      <c r="S36" s="4"/>
    </row>
    <row r="37" spans="18:19" ht="16.5" customHeight="1" x14ac:dyDescent="0.25">
      <c r="R37" s="4"/>
      <c r="S37" s="4"/>
    </row>
    <row r="38" spans="18:19" ht="16.5" customHeight="1" x14ac:dyDescent="0.25">
      <c r="R38" s="4"/>
      <c r="S38" s="4"/>
    </row>
    <row r="39" spans="18:19" ht="16.5" customHeight="1" x14ac:dyDescent="0.25">
      <c r="R39" s="4"/>
      <c r="S39" s="4"/>
    </row>
    <row r="40" spans="18:19" ht="16.5" customHeight="1" x14ac:dyDescent="0.25">
      <c r="R40" s="4"/>
      <c r="S40" s="4"/>
    </row>
    <row r="41" spans="18:19" ht="16.5" customHeight="1" x14ac:dyDescent="0.25">
      <c r="R41" s="4"/>
      <c r="S41" s="4"/>
    </row>
    <row r="42" spans="18:19" ht="16.5" customHeight="1" x14ac:dyDescent="0.25">
      <c r="R42" s="4"/>
      <c r="S42" s="4"/>
    </row>
    <row r="43" spans="18:19" ht="16.5" customHeight="1" x14ac:dyDescent="0.25">
      <c r="R43" s="4"/>
      <c r="S43" s="4"/>
    </row>
    <row r="44" spans="18:19" ht="16.5" customHeight="1" x14ac:dyDescent="0.25">
      <c r="R44" s="4"/>
      <c r="S44" s="4"/>
    </row>
    <row r="45" spans="18:19" ht="16.5" customHeight="1" x14ac:dyDescent="0.25">
      <c r="R45" s="4"/>
      <c r="S45" s="4"/>
    </row>
    <row r="46" spans="18:19" ht="16.5" customHeight="1" x14ac:dyDescent="0.25">
      <c r="R46" s="4"/>
      <c r="S46" s="4"/>
    </row>
  </sheetData>
  <sheetProtection insertColumns="0" insertRows="0" deleteColumns="0" deleteRows="0" selectLockedCells="1" autoFilter="0"/>
  <dataValidations disablePrompts="1" count="9">
    <dataValidation allowBlank="1" showInputMessage="1" showErrorMessage="1" prompt="Enter Company Name in this cell" sqref="N28" xr:uid="{00000000-0002-0000-0000-000001000000}"/>
    <dataValidation allowBlank="1" showInputMessage="1" showErrorMessage="1" prompt="Enter Date in this cell. Budget overview chart is in cell B9" sqref="Q29:R29" xr:uid="{00000000-0002-0000-0000-000002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C6" xr:uid="{00000000-0002-0000-0000-000003000000}"/>
    <dataValidation allowBlank="1" showInputMessage="1" showErrorMessage="1" prompt="Estimated totals are automatically calculated in this column under this heading" sqref="D6" xr:uid="{00000000-0002-0000-0000-000004000000}"/>
    <dataValidation allowBlank="1" showInputMessage="1" showErrorMessage="1" prompt="Actual totals are automatically calculated in this column under this heading" sqref="E6" xr:uid="{00000000-0002-0000-0000-000005000000}"/>
    <dataValidation allowBlank="1" showInputMessage="1" showErrorMessage="1" prompt="Difference of Estimated and Actual Totals is automatically calculated in this column under this heading" sqref="F6" xr:uid="{00000000-0002-0000-0000-000006000000}"/>
    <dataValidation allowBlank="1" showInputMessage="1" showErrorMessage="1" prompt="Title of this worksheet is in this cell. Enter Date in cell at right. Budget Totals are automatically calculated in Totals table starting in cell B4" sqref="N29:P32 Q30:V30" xr:uid="{00000000-0002-0000-0000-00000C000000}"/>
    <dataValidation allowBlank="1" showInputMessage="1" showErrorMessage="1" prompt="Enter Date in this cell." sqref="C4" xr:uid="{9307586E-3BE9-41BC-B985-E383D878365A}"/>
    <dataValidation allowBlank="1" showInputMessage="1" showErrorMessage="1" prompt="Title of this worksheet is in this cell. Enter Date in cell C4 " sqref="C3" xr:uid="{FC5A1E64-5A24-4D1F-8B92-FC0EE23B14DD}"/>
  </dataValidations>
  <printOptions horizontalCentered="1"/>
  <pageMargins left="0.25" right="0.25" top="0.25" bottom="0.25" header="0" footer="0"/>
  <pageSetup scale="50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autoPageBreaks="0" fitToPage="1"/>
  </sheetPr>
  <dimension ref="B1:S133"/>
  <sheetViews>
    <sheetView showGridLines="0" topLeftCell="A5" zoomScaleNormal="100" workbookViewId="0">
      <selection activeCell="J15" sqref="J15"/>
    </sheetView>
  </sheetViews>
  <sheetFormatPr defaultColWidth="8.85546875" defaultRowHeight="30" customHeight="1" x14ac:dyDescent="0.25"/>
  <cols>
    <col min="1" max="2" width="2.42578125" customWidth="1"/>
    <col min="3" max="3" width="45.85546875" customWidth="1"/>
    <col min="4" max="6" width="20.85546875" customWidth="1"/>
    <col min="7" max="8" width="2.42578125" style="47" customWidth="1"/>
    <col min="10" max="10" width="63.7109375" customWidth="1"/>
  </cols>
  <sheetData>
    <row r="1" spans="2:19" ht="16.5" customHeight="1" x14ac:dyDescent="0.25"/>
    <row r="2" spans="2:19" ht="16.5" customHeight="1" x14ac:dyDescent="0.25">
      <c r="B2" s="17"/>
      <c r="C2" s="17"/>
      <c r="D2" s="17"/>
      <c r="E2" s="17"/>
      <c r="F2" s="17"/>
      <c r="G2" s="48"/>
    </row>
    <row r="3" spans="2:19" ht="60" customHeight="1" x14ac:dyDescent="0.7">
      <c r="B3" s="17"/>
      <c r="C3" s="46" t="s">
        <v>0</v>
      </c>
      <c r="D3" s="49"/>
      <c r="E3" s="50"/>
      <c r="F3" s="20"/>
      <c r="G3" s="51"/>
      <c r="H3" s="15"/>
      <c r="I3" s="1"/>
    </row>
    <row r="4" spans="2:19" ht="30" customHeight="1" x14ac:dyDescent="0.25">
      <c r="B4" s="17"/>
      <c r="C4" s="21" t="s">
        <v>53</v>
      </c>
      <c r="D4" s="52"/>
      <c r="E4" s="52"/>
      <c r="F4" s="23"/>
      <c r="G4" s="53"/>
      <c r="H4" s="16"/>
      <c r="I4" s="2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2:19" ht="20.100000000000001" customHeight="1" x14ac:dyDescent="0.25">
      <c r="B5" s="17"/>
      <c r="C5" s="55"/>
      <c r="D5" s="52"/>
      <c r="E5" s="52"/>
      <c r="F5" s="23"/>
      <c r="G5" s="53"/>
      <c r="H5" s="16"/>
      <c r="I5" s="2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2:19" s="40" customFormat="1" ht="40.15" customHeight="1" x14ac:dyDescent="0.25">
      <c r="C6" s="30" t="s">
        <v>0</v>
      </c>
      <c r="D6" s="31" t="s">
        <v>2</v>
      </c>
      <c r="E6" s="31" t="s">
        <v>3</v>
      </c>
      <c r="F6" s="31" t="s">
        <v>4</v>
      </c>
      <c r="G6" s="10"/>
      <c r="H6" s="11"/>
      <c r="I6" s="11"/>
      <c r="J6" s="60" t="s">
        <v>40</v>
      </c>
      <c r="K6" s="35"/>
      <c r="L6" s="35"/>
      <c r="M6" s="35"/>
      <c r="N6" s="35"/>
      <c r="O6" s="35"/>
      <c r="P6" s="35"/>
      <c r="Q6" s="35"/>
      <c r="R6" s="35"/>
      <c r="S6" s="35"/>
    </row>
    <row r="7" spans="2:19" s="35" customFormat="1" ht="40.15" customHeight="1" x14ac:dyDescent="0.25">
      <c r="C7" s="26" t="s">
        <v>14</v>
      </c>
      <c r="D7" s="64">
        <v>50000</v>
      </c>
      <c r="E7" s="64">
        <v>47000</v>
      </c>
      <c r="F7" s="66">
        <f>Income[[#This Row],[Actual]]-Income[[#This Row],[Estimated]]</f>
        <v>-3000</v>
      </c>
      <c r="G7" s="10"/>
      <c r="H7" s="11"/>
      <c r="I7" s="11"/>
    </row>
    <row r="8" spans="2:19" s="35" customFormat="1" ht="40.15" customHeight="1" x14ac:dyDescent="0.25">
      <c r="C8" s="26" t="s">
        <v>44</v>
      </c>
      <c r="D8" s="64">
        <v>56000</v>
      </c>
      <c r="E8" s="64">
        <v>56624.63</v>
      </c>
      <c r="F8" s="66">
        <f>Income[[#This Row],[Actual]]-Income[[#This Row],[Estimated]]</f>
        <v>624.62999999999738</v>
      </c>
      <c r="G8" s="10"/>
      <c r="H8" s="11"/>
      <c r="I8" s="11"/>
      <c r="J8" s="61" t="s">
        <v>63</v>
      </c>
    </row>
    <row r="9" spans="2:19" s="35" customFormat="1" ht="40.15" customHeight="1" x14ac:dyDescent="0.25">
      <c r="C9" s="26" t="s">
        <v>45</v>
      </c>
      <c r="D9" s="64">
        <v>80000</v>
      </c>
      <c r="E9" s="64">
        <v>80000</v>
      </c>
      <c r="F9" s="66">
        <f>Income[[#This Row],[Actual]]-Income[[#This Row],[Estimated]]</f>
        <v>0</v>
      </c>
      <c r="G9" s="12"/>
      <c r="H9" s="11"/>
      <c r="I9" s="11"/>
      <c r="J9" s="61" t="s">
        <v>63</v>
      </c>
    </row>
    <row r="10" spans="2:19" s="35" customFormat="1" ht="47.25" customHeight="1" x14ac:dyDescent="0.25">
      <c r="C10" s="42" t="s">
        <v>15</v>
      </c>
      <c r="D10" s="64">
        <f>(23191+28700+12000)/3</f>
        <v>21297</v>
      </c>
      <c r="E10" s="64">
        <f>4970.8+3024</f>
        <v>7994.8</v>
      </c>
      <c r="F10" s="66">
        <f>Income[[#This Row],[Actual]]-Income[[#This Row],[Estimated]]</f>
        <v>-13302.2</v>
      </c>
      <c r="H10" s="11"/>
      <c r="I10" s="11"/>
      <c r="J10" s="61" t="s">
        <v>82</v>
      </c>
    </row>
    <row r="11" spans="2:19" s="35" customFormat="1" ht="40.15" customHeight="1" x14ac:dyDescent="0.25">
      <c r="C11" s="26" t="s">
        <v>16</v>
      </c>
      <c r="D11" s="64">
        <v>15000</v>
      </c>
      <c r="E11" s="64">
        <v>19066</v>
      </c>
      <c r="F11" s="66">
        <f>Income[[#This Row],[Actual]]-Income[[#This Row],[Estimated]]</f>
        <v>4066</v>
      </c>
      <c r="H11" s="11"/>
      <c r="I11" s="11"/>
      <c r="J11" s="61" t="s">
        <v>83</v>
      </c>
    </row>
    <row r="12" spans="2:19" s="35" customFormat="1" ht="40.15" customHeight="1" x14ac:dyDescent="0.25">
      <c r="C12" s="26" t="s">
        <v>17</v>
      </c>
      <c r="D12" s="64">
        <v>10000</v>
      </c>
      <c r="E12" s="64"/>
      <c r="F12" s="66">
        <f>Income[[#This Row],[Actual]]-Income[[#This Row],[Estimated]]</f>
        <v>-10000</v>
      </c>
      <c r="H12" s="11"/>
      <c r="I12" s="11"/>
      <c r="J12" s="35" t="s">
        <v>84</v>
      </c>
    </row>
    <row r="13" spans="2:19" s="35" customFormat="1" ht="40.15" customHeight="1" x14ac:dyDescent="0.25">
      <c r="C13" s="26" t="s">
        <v>51</v>
      </c>
      <c r="D13" s="64">
        <v>5000</v>
      </c>
      <c r="E13" s="64"/>
      <c r="F13" s="66">
        <f>Income[[#This Row],[Actual]]-Income[[#This Row],[Estimated]]</f>
        <v>-5000</v>
      </c>
      <c r="H13" s="11"/>
      <c r="I13" s="11"/>
      <c r="J13" s="61" t="s">
        <v>85</v>
      </c>
    </row>
    <row r="14" spans="2:19" s="35" customFormat="1" ht="40.15" customHeight="1" x14ac:dyDescent="0.25">
      <c r="C14" s="56" t="s">
        <v>8</v>
      </c>
      <c r="D14" s="66">
        <f>SUBTOTAL(109,Income[Estimated])</f>
        <v>237297</v>
      </c>
      <c r="E14" s="66">
        <f>SUBTOTAL(109,Income[Actual])</f>
        <v>210685.43</v>
      </c>
      <c r="F14" s="66">
        <f>SUBTOTAL(109,Income[Difference])</f>
        <v>-26611.570000000003</v>
      </c>
      <c r="H14" s="11"/>
      <c r="I14" s="11"/>
    </row>
    <row r="15" spans="2:19" ht="30" customHeight="1" x14ac:dyDescent="0.25">
      <c r="H15" s="9"/>
      <c r="I15" s="3"/>
    </row>
    <row r="16" spans="2:19" ht="30" customHeight="1" x14ac:dyDescent="0.25">
      <c r="H16" s="9"/>
      <c r="I16" s="3"/>
    </row>
    <row r="17" spans="8:9" ht="30" customHeight="1" x14ac:dyDescent="0.25">
      <c r="H17" s="9"/>
      <c r="I17" s="3"/>
    </row>
    <row r="18" spans="8:9" ht="30" customHeight="1" x14ac:dyDescent="0.25">
      <c r="H18" s="9"/>
      <c r="I18" s="3"/>
    </row>
    <row r="19" spans="8:9" ht="30" customHeight="1" x14ac:dyDescent="0.25">
      <c r="H19" s="9"/>
      <c r="I19" s="3"/>
    </row>
    <row r="20" spans="8:9" ht="30" customHeight="1" x14ac:dyDescent="0.25">
      <c r="H20" s="9"/>
      <c r="I20" s="3"/>
    </row>
    <row r="21" spans="8:9" ht="30" customHeight="1" x14ac:dyDescent="0.25">
      <c r="H21" s="9"/>
      <c r="I21" s="3"/>
    </row>
    <row r="22" spans="8:9" ht="30" customHeight="1" x14ac:dyDescent="0.25">
      <c r="H22" s="9"/>
      <c r="I22" s="3"/>
    </row>
    <row r="23" spans="8:9" ht="30" customHeight="1" x14ac:dyDescent="0.25">
      <c r="H23" s="9"/>
      <c r="I23" s="3"/>
    </row>
    <row r="24" spans="8:9" ht="30" customHeight="1" x14ac:dyDescent="0.25">
      <c r="H24" s="9"/>
      <c r="I24" s="3"/>
    </row>
    <row r="25" spans="8:9" ht="30" customHeight="1" x14ac:dyDescent="0.25">
      <c r="H25" s="9"/>
      <c r="I25" s="3"/>
    </row>
    <row r="26" spans="8:9" ht="30" customHeight="1" x14ac:dyDescent="0.25">
      <c r="H26" s="9"/>
      <c r="I26" s="3"/>
    </row>
    <row r="27" spans="8:9" ht="30" customHeight="1" x14ac:dyDescent="0.25">
      <c r="H27" s="9"/>
      <c r="I27" s="3"/>
    </row>
    <row r="28" spans="8:9" ht="30" customHeight="1" x14ac:dyDescent="0.25">
      <c r="H28" s="9"/>
      <c r="I28" s="3"/>
    </row>
    <row r="29" spans="8:9" ht="30" customHeight="1" x14ac:dyDescent="0.25">
      <c r="H29" s="9"/>
      <c r="I29" s="3"/>
    </row>
    <row r="30" spans="8:9" ht="30" customHeight="1" x14ac:dyDescent="0.25">
      <c r="H30" s="9"/>
      <c r="I30" s="3"/>
    </row>
    <row r="31" spans="8:9" ht="30" customHeight="1" x14ac:dyDescent="0.25">
      <c r="H31" s="9"/>
      <c r="I31" s="3"/>
    </row>
    <row r="32" spans="8:9" ht="30" customHeight="1" x14ac:dyDescent="0.25">
      <c r="H32" s="9"/>
      <c r="I32" s="3"/>
    </row>
    <row r="33" spans="8:9" ht="30" customHeight="1" x14ac:dyDescent="0.25">
      <c r="H33" s="9"/>
      <c r="I33" s="3"/>
    </row>
    <row r="34" spans="8:9" ht="30" customHeight="1" x14ac:dyDescent="0.25">
      <c r="H34" s="9"/>
      <c r="I34" s="3"/>
    </row>
    <row r="35" spans="8:9" ht="30" customHeight="1" x14ac:dyDescent="0.25">
      <c r="H35" s="9"/>
      <c r="I35" s="3"/>
    </row>
    <row r="36" spans="8:9" ht="30" customHeight="1" x14ac:dyDescent="0.25">
      <c r="H36" s="9"/>
      <c r="I36" s="3"/>
    </row>
    <row r="37" spans="8:9" ht="30" customHeight="1" x14ac:dyDescent="0.25">
      <c r="H37" s="9"/>
      <c r="I37" s="3"/>
    </row>
    <row r="38" spans="8:9" ht="30" customHeight="1" x14ac:dyDescent="0.25">
      <c r="H38" s="9"/>
      <c r="I38" s="3"/>
    </row>
    <row r="39" spans="8:9" ht="30" customHeight="1" x14ac:dyDescent="0.25">
      <c r="H39" s="9"/>
      <c r="I39" s="3"/>
    </row>
    <row r="40" spans="8:9" ht="30" customHeight="1" x14ac:dyDescent="0.25">
      <c r="H40" s="9"/>
      <c r="I40" s="3"/>
    </row>
    <row r="41" spans="8:9" ht="30" customHeight="1" x14ac:dyDescent="0.25">
      <c r="H41" s="9"/>
      <c r="I41" s="3"/>
    </row>
    <row r="42" spans="8:9" ht="30" customHeight="1" x14ac:dyDescent="0.25">
      <c r="H42" s="9"/>
      <c r="I42" s="3"/>
    </row>
    <row r="43" spans="8:9" ht="30" customHeight="1" x14ac:dyDescent="0.25">
      <c r="H43" s="9"/>
      <c r="I43" s="3"/>
    </row>
    <row r="44" spans="8:9" ht="30" customHeight="1" x14ac:dyDescent="0.25">
      <c r="H44" s="9"/>
      <c r="I44" s="3"/>
    </row>
    <row r="45" spans="8:9" ht="30" customHeight="1" x14ac:dyDescent="0.25">
      <c r="H45" s="9"/>
      <c r="I45" s="3"/>
    </row>
    <row r="46" spans="8:9" ht="30" customHeight="1" x14ac:dyDescent="0.25">
      <c r="H46" s="9"/>
      <c r="I46" s="3"/>
    </row>
    <row r="47" spans="8:9" ht="30" customHeight="1" x14ac:dyDescent="0.25">
      <c r="H47" s="9"/>
      <c r="I47" s="3"/>
    </row>
    <row r="48" spans="8:9" ht="30" customHeight="1" x14ac:dyDescent="0.25">
      <c r="H48" s="9"/>
      <c r="I48" s="3"/>
    </row>
    <row r="49" spans="8:9" ht="30" customHeight="1" x14ac:dyDescent="0.25">
      <c r="H49" s="9"/>
      <c r="I49" s="3"/>
    </row>
    <row r="50" spans="8:9" ht="30" customHeight="1" x14ac:dyDescent="0.25">
      <c r="H50" s="9"/>
      <c r="I50" s="3"/>
    </row>
    <row r="51" spans="8:9" ht="30" customHeight="1" x14ac:dyDescent="0.25">
      <c r="H51" s="9"/>
      <c r="I51" s="3"/>
    </row>
    <row r="52" spans="8:9" ht="30" customHeight="1" x14ac:dyDescent="0.25">
      <c r="H52" s="9"/>
      <c r="I52" s="3"/>
    </row>
    <row r="53" spans="8:9" ht="30" customHeight="1" x14ac:dyDescent="0.25">
      <c r="H53" s="9"/>
      <c r="I53" s="3"/>
    </row>
    <row r="54" spans="8:9" ht="30" customHeight="1" x14ac:dyDescent="0.25">
      <c r="H54" s="9"/>
      <c r="I54" s="3"/>
    </row>
    <row r="55" spans="8:9" ht="30" customHeight="1" x14ac:dyDescent="0.25">
      <c r="H55" s="9"/>
      <c r="I55" s="3"/>
    </row>
    <row r="56" spans="8:9" ht="30" customHeight="1" x14ac:dyDescent="0.25">
      <c r="H56" s="9"/>
      <c r="I56" s="3"/>
    </row>
    <row r="57" spans="8:9" ht="30" customHeight="1" x14ac:dyDescent="0.25">
      <c r="H57" s="9"/>
      <c r="I57" s="3"/>
    </row>
    <row r="58" spans="8:9" ht="30" customHeight="1" x14ac:dyDescent="0.25">
      <c r="H58" s="9"/>
      <c r="I58" s="3"/>
    </row>
    <row r="59" spans="8:9" ht="30" customHeight="1" x14ac:dyDescent="0.25">
      <c r="H59" s="9"/>
      <c r="I59" s="3"/>
    </row>
    <row r="60" spans="8:9" ht="30" customHeight="1" x14ac:dyDescent="0.25">
      <c r="H60" s="9"/>
      <c r="I60" s="3"/>
    </row>
    <row r="61" spans="8:9" ht="30" customHeight="1" x14ac:dyDescent="0.25">
      <c r="H61" s="9"/>
      <c r="I61" s="3"/>
    </row>
    <row r="62" spans="8:9" ht="30" customHeight="1" x14ac:dyDescent="0.25">
      <c r="H62" s="9"/>
      <c r="I62" s="3"/>
    </row>
    <row r="63" spans="8:9" ht="30" customHeight="1" x14ac:dyDescent="0.25">
      <c r="H63" s="9"/>
      <c r="I63" s="3"/>
    </row>
    <row r="64" spans="8:9" ht="30" customHeight="1" x14ac:dyDescent="0.25">
      <c r="H64" s="9"/>
      <c r="I64" s="3"/>
    </row>
    <row r="65" spans="8:9" ht="30" customHeight="1" x14ac:dyDescent="0.25">
      <c r="H65" s="9"/>
      <c r="I65" s="3"/>
    </row>
    <row r="66" spans="8:9" ht="30" customHeight="1" x14ac:dyDescent="0.25">
      <c r="H66" s="9"/>
      <c r="I66" s="3"/>
    </row>
    <row r="67" spans="8:9" ht="30" customHeight="1" x14ac:dyDescent="0.25">
      <c r="H67" s="9"/>
      <c r="I67" s="3"/>
    </row>
    <row r="68" spans="8:9" ht="30" customHeight="1" x14ac:dyDescent="0.25">
      <c r="H68" s="9"/>
      <c r="I68" s="3"/>
    </row>
    <row r="69" spans="8:9" ht="30" customHeight="1" x14ac:dyDescent="0.25">
      <c r="H69" s="9"/>
      <c r="I69" s="3"/>
    </row>
    <row r="70" spans="8:9" ht="30" customHeight="1" x14ac:dyDescent="0.25">
      <c r="H70" s="9"/>
      <c r="I70" s="3"/>
    </row>
    <row r="71" spans="8:9" ht="30" customHeight="1" x14ac:dyDescent="0.25">
      <c r="H71" s="9"/>
      <c r="I71" s="3"/>
    </row>
    <row r="72" spans="8:9" ht="30" customHeight="1" x14ac:dyDescent="0.25">
      <c r="H72" s="9"/>
      <c r="I72" s="3"/>
    </row>
    <row r="73" spans="8:9" ht="30" customHeight="1" x14ac:dyDescent="0.25">
      <c r="H73" s="9"/>
      <c r="I73" s="3"/>
    </row>
    <row r="74" spans="8:9" ht="30" customHeight="1" x14ac:dyDescent="0.25">
      <c r="H74" s="9"/>
      <c r="I74" s="3"/>
    </row>
    <row r="75" spans="8:9" ht="30" customHeight="1" x14ac:dyDescent="0.25">
      <c r="H75" s="9"/>
      <c r="I75" s="3"/>
    </row>
    <row r="76" spans="8:9" ht="30" customHeight="1" x14ac:dyDescent="0.25">
      <c r="H76" s="9"/>
      <c r="I76" s="3"/>
    </row>
    <row r="77" spans="8:9" ht="30" customHeight="1" x14ac:dyDescent="0.25">
      <c r="H77" s="9"/>
      <c r="I77" s="3"/>
    </row>
    <row r="78" spans="8:9" ht="30" customHeight="1" x14ac:dyDescent="0.25">
      <c r="H78" s="9"/>
      <c r="I78" s="3"/>
    </row>
    <row r="79" spans="8:9" ht="30" customHeight="1" x14ac:dyDescent="0.25">
      <c r="H79" s="9"/>
      <c r="I79" s="3"/>
    </row>
    <row r="80" spans="8:9" ht="30" customHeight="1" x14ac:dyDescent="0.25">
      <c r="H80" s="9"/>
      <c r="I80" s="3"/>
    </row>
    <row r="81" spans="8:9" ht="30" customHeight="1" x14ac:dyDescent="0.25">
      <c r="H81" s="9"/>
      <c r="I81" s="3"/>
    </row>
    <row r="82" spans="8:9" ht="30" customHeight="1" x14ac:dyDescent="0.25">
      <c r="H82" s="9"/>
      <c r="I82" s="3"/>
    </row>
    <row r="83" spans="8:9" ht="30" customHeight="1" x14ac:dyDescent="0.25">
      <c r="H83" s="9"/>
      <c r="I83" s="3"/>
    </row>
    <row r="84" spans="8:9" ht="30" customHeight="1" x14ac:dyDescent="0.25">
      <c r="H84" s="9"/>
      <c r="I84" s="3"/>
    </row>
    <row r="85" spans="8:9" ht="30" customHeight="1" x14ac:dyDescent="0.25">
      <c r="H85" s="9"/>
      <c r="I85" s="3"/>
    </row>
    <row r="86" spans="8:9" ht="30" customHeight="1" x14ac:dyDescent="0.25">
      <c r="H86" s="9"/>
      <c r="I86" s="3"/>
    </row>
    <row r="87" spans="8:9" ht="30" customHeight="1" x14ac:dyDescent="0.25">
      <c r="H87" s="9"/>
      <c r="I87" s="3"/>
    </row>
    <row r="88" spans="8:9" ht="30" customHeight="1" x14ac:dyDescent="0.25">
      <c r="H88" s="9"/>
      <c r="I88" s="3"/>
    </row>
    <row r="89" spans="8:9" ht="30" customHeight="1" x14ac:dyDescent="0.25">
      <c r="H89" s="9"/>
      <c r="I89" s="3"/>
    </row>
    <row r="90" spans="8:9" ht="30" customHeight="1" x14ac:dyDescent="0.25">
      <c r="H90" s="9"/>
      <c r="I90" s="3"/>
    </row>
    <row r="91" spans="8:9" ht="30" customHeight="1" x14ac:dyDescent="0.25">
      <c r="H91" s="9"/>
      <c r="I91" s="3"/>
    </row>
    <row r="92" spans="8:9" ht="30" customHeight="1" x14ac:dyDescent="0.25">
      <c r="H92" s="9"/>
      <c r="I92" s="3"/>
    </row>
    <row r="93" spans="8:9" ht="30" customHeight="1" x14ac:dyDescent="0.25">
      <c r="H93" s="9"/>
      <c r="I93" s="3"/>
    </row>
    <row r="94" spans="8:9" ht="30" customHeight="1" x14ac:dyDescent="0.25">
      <c r="H94" s="9"/>
      <c r="I94" s="3"/>
    </row>
    <row r="95" spans="8:9" ht="30" customHeight="1" x14ac:dyDescent="0.25">
      <c r="H95" s="9"/>
      <c r="I95" s="3"/>
    </row>
    <row r="96" spans="8:9" ht="30" customHeight="1" x14ac:dyDescent="0.25">
      <c r="H96" s="9"/>
      <c r="I96" s="3"/>
    </row>
    <row r="97" spans="8:9" ht="30" customHeight="1" x14ac:dyDescent="0.25">
      <c r="H97" s="9"/>
      <c r="I97" s="3"/>
    </row>
    <row r="98" spans="8:9" ht="30" customHeight="1" x14ac:dyDescent="0.25">
      <c r="H98" s="9"/>
      <c r="I98" s="3"/>
    </row>
    <row r="99" spans="8:9" ht="30" customHeight="1" x14ac:dyDescent="0.25">
      <c r="H99" s="9"/>
      <c r="I99" s="3"/>
    </row>
    <row r="100" spans="8:9" ht="30" customHeight="1" x14ac:dyDescent="0.25">
      <c r="H100" s="9"/>
      <c r="I100" s="3"/>
    </row>
    <row r="101" spans="8:9" ht="30" customHeight="1" x14ac:dyDescent="0.25">
      <c r="H101" s="9"/>
      <c r="I101" s="3"/>
    </row>
    <row r="102" spans="8:9" ht="30" customHeight="1" x14ac:dyDescent="0.25">
      <c r="H102" s="9"/>
      <c r="I102" s="3"/>
    </row>
    <row r="103" spans="8:9" ht="30" customHeight="1" x14ac:dyDescent="0.25">
      <c r="H103" s="9"/>
      <c r="I103" s="3"/>
    </row>
    <row r="104" spans="8:9" ht="30" customHeight="1" x14ac:dyDescent="0.25">
      <c r="H104" s="9"/>
      <c r="I104" s="3"/>
    </row>
    <row r="105" spans="8:9" ht="30" customHeight="1" x14ac:dyDescent="0.25">
      <c r="H105" s="9"/>
      <c r="I105" s="3"/>
    </row>
    <row r="106" spans="8:9" ht="30" customHeight="1" x14ac:dyDescent="0.25">
      <c r="H106" s="9"/>
      <c r="I106" s="3"/>
    </row>
    <row r="107" spans="8:9" ht="30" customHeight="1" x14ac:dyDescent="0.25">
      <c r="H107" s="9"/>
      <c r="I107" s="3"/>
    </row>
    <row r="108" spans="8:9" ht="30" customHeight="1" x14ac:dyDescent="0.25">
      <c r="H108" s="9"/>
      <c r="I108" s="3"/>
    </row>
    <row r="109" spans="8:9" ht="30" customHeight="1" x14ac:dyDescent="0.25">
      <c r="H109" s="9"/>
      <c r="I109" s="3"/>
    </row>
    <row r="110" spans="8:9" ht="30" customHeight="1" x14ac:dyDescent="0.25">
      <c r="H110" s="9"/>
      <c r="I110" s="3"/>
    </row>
    <row r="111" spans="8:9" ht="30" customHeight="1" x14ac:dyDescent="0.25">
      <c r="H111" s="9"/>
      <c r="I111" s="3"/>
    </row>
    <row r="112" spans="8:9" ht="30" customHeight="1" x14ac:dyDescent="0.25">
      <c r="H112" s="9"/>
      <c r="I112" s="3"/>
    </row>
    <row r="113" spans="8:9" ht="30" customHeight="1" x14ac:dyDescent="0.25">
      <c r="H113" s="9"/>
      <c r="I113" s="3"/>
    </row>
    <row r="114" spans="8:9" ht="30" customHeight="1" x14ac:dyDescent="0.25">
      <c r="H114" s="9"/>
      <c r="I114" s="3"/>
    </row>
    <row r="115" spans="8:9" ht="30" customHeight="1" x14ac:dyDescent="0.25">
      <c r="H115" s="9"/>
      <c r="I115" s="3"/>
    </row>
    <row r="116" spans="8:9" ht="30" customHeight="1" x14ac:dyDescent="0.25">
      <c r="H116" s="9"/>
      <c r="I116" s="3"/>
    </row>
    <row r="117" spans="8:9" ht="30" customHeight="1" x14ac:dyDescent="0.25">
      <c r="H117" s="9"/>
      <c r="I117" s="3"/>
    </row>
    <row r="118" spans="8:9" ht="30" customHeight="1" x14ac:dyDescent="0.25">
      <c r="H118" s="9"/>
      <c r="I118" s="3"/>
    </row>
    <row r="119" spans="8:9" ht="30" customHeight="1" x14ac:dyDescent="0.25">
      <c r="H119" s="9"/>
      <c r="I119" s="3"/>
    </row>
    <row r="120" spans="8:9" ht="30" customHeight="1" x14ac:dyDescent="0.25">
      <c r="H120" s="9"/>
      <c r="I120" s="3"/>
    </row>
    <row r="121" spans="8:9" ht="30" customHeight="1" x14ac:dyDescent="0.25">
      <c r="H121" s="9"/>
      <c r="I121" s="3"/>
    </row>
    <row r="122" spans="8:9" ht="30" customHeight="1" x14ac:dyDescent="0.25">
      <c r="H122" s="9"/>
      <c r="I122" s="3"/>
    </row>
    <row r="123" spans="8:9" ht="30" customHeight="1" x14ac:dyDescent="0.25">
      <c r="H123" s="9"/>
      <c r="I123" s="3"/>
    </row>
    <row r="124" spans="8:9" ht="30" customHeight="1" x14ac:dyDescent="0.25">
      <c r="H124" s="9"/>
      <c r="I124" s="3"/>
    </row>
    <row r="125" spans="8:9" ht="30" customHeight="1" x14ac:dyDescent="0.25">
      <c r="H125" s="9"/>
      <c r="I125" s="3"/>
    </row>
    <row r="126" spans="8:9" ht="30" customHeight="1" x14ac:dyDescent="0.25">
      <c r="H126" s="9"/>
      <c r="I126" s="3"/>
    </row>
    <row r="127" spans="8:9" ht="30" customHeight="1" x14ac:dyDescent="0.25">
      <c r="H127" s="9"/>
      <c r="I127" s="3"/>
    </row>
    <row r="128" spans="8:9" ht="30" customHeight="1" x14ac:dyDescent="0.25">
      <c r="H128" s="9"/>
      <c r="I128" s="3"/>
    </row>
    <row r="129" spans="8:9" ht="30" customHeight="1" x14ac:dyDescent="0.25">
      <c r="H129" s="9"/>
      <c r="I129" s="3"/>
    </row>
    <row r="130" spans="8:9" ht="30" customHeight="1" x14ac:dyDescent="0.25">
      <c r="H130" s="9"/>
      <c r="I130" s="3"/>
    </row>
    <row r="131" spans="8:9" ht="30" customHeight="1" x14ac:dyDescent="0.25">
      <c r="H131" s="9"/>
      <c r="I131" s="3"/>
    </row>
    <row r="132" spans="8:9" ht="30" customHeight="1" x14ac:dyDescent="0.25">
      <c r="H132" s="9"/>
      <c r="I132" s="3"/>
    </row>
    <row r="133" spans="8:9" ht="30" customHeight="1" x14ac:dyDescent="0.25">
      <c r="H133" s="9"/>
      <c r="I133" s="3"/>
    </row>
  </sheetData>
  <sheetProtection insertColumns="0" insertRows="0" deleteColumns="0" deleteRows="0" selectLockedCells="1" autoFilter="0"/>
  <dataConsolidate/>
  <conditionalFormatting sqref="C7:F13">
    <cfRule type="cellIs" dxfId="10" priority="3" operator="lessThan">
      <formula>0</formula>
    </cfRule>
  </conditionalFormatting>
  <dataValidations count="8">
    <dataValidation allowBlank="1" showInputMessage="1" showErrorMessage="1" errorTitle="ALERT" error="This cell is automatically populated and should not be overwitten. Overwriting this cell would break calculations in this worksheet." sqref="F7:F13" xr:uid="{00000000-0002-0000-0100-000001000000}"/>
    <dataValidation allowBlank="1" showInputMessage="1" showErrorMessage="1" prompt="Enter Income details in this column under this heading. Use heading filters to find specific entries" sqref="C6" xr:uid="{00000000-0002-0000-0100-000002000000}"/>
    <dataValidation allowBlank="1" showInputMessage="1" showErrorMessage="1" prompt="Enter Estimated amount in this column under this heading" sqref="D6" xr:uid="{00000000-0002-0000-0100-000003000000}"/>
    <dataValidation allowBlank="1" showInputMessage="1" showErrorMessage="1" prompt="Enter Actual amount in this column under this heading" sqref="E6" xr:uid="{00000000-0002-0000-0100-000004000000}"/>
    <dataValidation allowBlank="1" showInputMessage="1" showErrorMessage="1" prompt="Difference of Estimated and Actual Income is automatically calculated in this column under this heading" sqref="F6" xr:uid="{00000000-0002-0000-0100-000005000000}"/>
    <dataValidation type="custom" allowBlank="1" showInputMessage="1" showErrorMessage="1" errorTitle="ALERT" error="This cell is automatically populated and should not be overwitten. Overwriting this cell would break calculations in this worksheet." sqref="G6:G8" xr:uid="{00000000-0002-0000-0100-000000000000}">
      <formula1>LEN(G6)=""</formula1>
    </dataValidation>
    <dataValidation allowBlank="1" showInputMessage="1" showErrorMessage="1" prompt="Title of this worksheet is in this cell. Enter Date in cell C4. " sqref="C3" xr:uid="{C08C206E-3D1B-C543-B9AC-56C55628C784}"/>
    <dataValidation allowBlank="1" showInputMessage="1" showErrorMessage="1" prompt="Enter Date in this cell." sqref="C4" xr:uid="{4F883EDB-8729-4F0C-BB9D-9805BFDAEFF5}"/>
  </dataValidations>
  <printOptions horizontalCentered="1"/>
  <pageMargins left="0.25" right="0.25" top="0.25" bottom="0.25" header="0" footer="0"/>
  <pageSetup scale="97" fitToHeight="0" orientation="portrait" r:id="rId1"/>
  <headerFooter differentFirst="1">
    <oddFooter>Page &amp;P of &amp;N</oddFooter>
  </headerFooter>
  <ignoredErrors>
    <ignoredError sqref="D7 D10 D12:D13 D9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G6:G8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D7E7-0E75-412A-927A-D789C6D499FC}">
  <sheetPr>
    <tabColor theme="4"/>
    <pageSetUpPr autoPageBreaks="0" fitToPage="1"/>
  </sheetPr>
  <dimension ref="B1:L28"/>
  <sheetViews>
    <sheetView showGridLines="0" topLeftCell="A8" zoomScaleNormal="100" workbookViewId="0">
      <selection activeCell="D21" sqref="D21"/>
    </sheetView>
  </sheetViews>
  <sheetFormatPr defaultColWidth="8.85546875" defaultRowHeight="30" customHeight="1" x14ac:dyDescent="0.25"/>
  <cols>
    <col min="1" max="2" width="2.42578125" customWidth="1"/>
    <col min="3" max="3" width="45.85546875" customWidth="1"/>
    <col min="4" max="6" width="20.85546875" customWidth="1"/>
    <col min="7" max="8" width="2.42578125" customWidth="1"/>
    <col min="10" max="10" width="37.140625" customWidth="1"/>
  </cols>
  <sheetData>
    <row r="1" spans="2:10" ht="16.5" customHeight="1" x14ac:dyDescent="0.25"/>
    <row r="2" spans="2:10" ht="16.5" customHeight="1" x14ac:dyDescent="0.25">
      <c r="B2" s="17"/>
      <c r="C2" s="17"/>
      <c r="D2" s="17"/>
      <c r="E2" s="17"/>
      <c r="F2" s="17"/>
      <c r="G2" s="17"/>
    </row>
    <row r="3" spans="2:10" ht="60" customHeight="1" x14ac:dyDescent="0.7">
      <c r="B3" s="17"/>
      <c r="C3" s="29" t="s">
        <v>5</v>
      </c>
      <c r="D3" s="18"/>
      <c r="E3" s="19"/>
      <c r="F3" s="20"/>
      <c r="G3" s="13"/>
    </row>
    <row r="4" spans="2:10" ht="30" customHeight="1" x14ac:dyDescent="0.2">
      <c r="B4" s="17"/>
      <c r="C4" s="21" t="s">
        <v>53</v>
      </c>
      <c r="D4" s="18"/>
      <c r="E4" s="19"/>
      <c r="F4" s="20"/>
      <c r="G4" s="13"/>
    </row>
    <row r="5" spans="2:10" ht="20.100000000000001" customHeight="1" x14ac:dyDescent="0.25">
      <c r="B5" s="17"/>
      <c r="C5" s="22"/>
      <c r="D5" s="22"/>
      <c r="E5" s="22"/>
      <c r="F5" s="23"/>
      <c r="G5" s="14"/>
    </row>
    <row r="6" spans="2:10" ht="40.15" customHeight="1" x14ac:dyDescent="0.25">
      <c r="C6" s="30" t="s">
        <v>11</v>
      </c>
      <c r="D6" s="31" t="s">
        <v>2</v>
      </c>
      <c r="E6" s="31" t="s">
        <v>3</v>
      </c>
      <c r="F6" s="31" t="s">
        <v>4</v>
      </c>
      <c r="G6" s="8"/>
      <c r="J6" s="59" t="s">
        <v>40</v>
      </c>
    </row>
    <row r="7" spans="2:10" ht="40.15" customHeight="1" x14ac:dyDescent="0.25">
      <c r="C7" s="26" t="s">
        <v>57</v>
      </c>
      <c r="D7" s="64">
        <f>OperatingExpenses[[#Totals],[Estimated]]</f>
        <v>-6750</v>
      </c>
      <c r="E7" s="64">
        <f>OperatingExpenses[[#Totals],[Actual]]</f>
        <v>-3919.45</v>
      </c>
      <c r="F7" s="66">
        <f>OperatingExpenses2[[#This Row],[Estimated]]-OperatingExpenses2[[#This Row],[Actual]]</f>
        <v>-2830.55</v>
      </c>
      <c r="G7" s="6"/>
      <c r="J7" s="63" t="s">
        <v>54</v>
      </c>
    </row>
    <row r="8" spans="2:10" ht="54.75" customHeight="1" x14ac:dyDescent="0.25">
      <c r="C8" s="26" t="s">
        <v>56</v>
      </c>
      <c r="D8" s="64">
        <v>-65000</v>
      </c>
      <c r="E8" s="64"/>
      <c r="F8" s="66">
        <f>OperatingExpenses2[[#This Row],[Estimated]]-OperatingExpenses2[[#This Row],[Actual]]</f>
        <v>-65000</v>
      </c>
      <c r="G8" s="6"/>
      <c r="J8" s="63" t="s">
        <v>55</v>
      </c>
    </row>
    <row r="9" spans="2:10" ht="40.15" customHeight="1" x14ac:dyDescent="0.25">
      <c r="C9" s="26" t="s">
        <v>52</v>
      </c>
      <c r="D9" s="64">
        <v>-25000</v>
      </c>
      <c r="E9" s="64"/>
      <c r="F9" s="66">
        <f>OperatingExpenses2[[#This Row],[Estimated]]-OperatingExpenses2[[#This Row],[Actual]]</f>
        <v>-25000</v>
      </c>
      <c r="G9" s="6"/>
      <c r="J9" s="62"/>
    </row>
    <row r="10" spans="2:10" ht="40.15" customHeight="1" x14ac:dyDescent="0.25">
      <c r="C10" s="26" t="s">
        <v>47</v>
      </c>
      <c r="D10" s="64">
        <f>OperatingExpenses256[[#Totals],[Estimated]]</f>
        <v>-75500</v>
      </c>
      <c r="E10" s="64"/>
      <c r="F10" s="66">
        <f>OperatingExpenses2[[#This Row],[Estimated]]-OperatingExpenses2[[#This Row],[Actual]]</f>
        <v>-75500</v>
      </c>
      <c r="G10" s="6"/>
      <c r="J10" s="63" t="s">
        <v>81</v>
      </c>
    </row>
    <row r="11" spans="2:10" ht="40.15" customHeight="1" x14ac:dyDescent="0.25">
      <c r="C11" s="26" t="s">
        <v>58</v>
      </c>
      <c r="D11" s="64">
        <v>-11000</v>
      </c>
      <c r="E11" s="64"/>
      <c r="F11" s="66">
        <f>OperatingExpenses2[[#This Row],[Estimated]]-OperatingExpenses2[[#This Row],[Actual]]</f>
        <v>-11000</v>
      </c>
      <c r="G11" s="6"/>
      <c r="J11" s="63" t="s">
        <v>59</v>
      </c>
    </row>
    <row r="12" spans="2:10" ht="40.15" customHeight="1" x14ac:dyDescent="0.25">
      <c r="C12" s="26" t="s">
        <v>61</v>
      </c>
      <c r="D12" s="64">
        <v>-2000</v>
      </c>
      <c r="E12" s="64"/>
      <c r="F12" s="66">
        <f>OperatingExpenses2[[#This Row],[Estimated]]-OperatingExpenses2[[#This Row],[Actual]]</f>
        <v>-2000</v>
      </c>
      <c r="G12" s="6"/>
      <c r="J12" s="63" t="s">
        <v>80</v>
      </c>
    </row>
    <row r="13" spans="2:10" ht="40.15" customHeight="1" x14ac:dyDescent="0.25">
      <c r="C13" s="26" t="s">
        <v>62</v>
      </c>
      <c r="D13" s="73">
        <v>-9000</v>
      </c>
      <c r="E13" s="73"/>
      <c r="F13" s="74">
        <f>OperatingExpenses2[[#This Row],[Estimated]]-OperatingExpenses2[[#This Row],[Actual]]</f>
        <v>-9000</v>
      </c>
      <c r="G13" s="6"/>
      <c r="J13" s="63" t="s">
        <v>69</v>
      </c>
    </row>
    <row r="14" spans="2:10" ht="40.15" customHeight="1" x14ac:dyDescent="0.25">
      <c r="C14" s="26" t="s">
        <v>68</v>
      </c>
      <c r="D14" s="64">
        <f>OperatingExpenses27[[#Totals],[Estimated]]</f>
        <v>-750</v>
      </c>
      <c r="E14" s="64"/>
      <c r="F14" s="74">
        <f>OperatingExpenses2[[#This Row],[Estimated]]-OperatingExpenses2[[#This Row],[Actual]]</f>
        <v>-750</v>
      </c>
      <c r="G14" s="6"/>
      <c r="J14" s="63" t="s">
        <v>69</v>
      </c>
    </row>
    <row r="15" spans="2:10" ht="40.15" customHeight="1" x14ac:dyDescent="0.25">
      <c r="C15" s="26" t="s">
        <v>70</v>
      </c>
      <c r="D15" s="64">
        <v>-500</v>
      </c>
      <c r="E15" s="64"/>
      <c r="F15" s="66">
        <f>OperatingExpenses2[[#This Row],[Estimated]]-OperatingExpenses2[[#This Row],[Actual]]</f>
        <v>-500</v>
      </c>
      <c r="G15" s="6"/>
      <c r="J15" s="63" t="s">
        <v>69</v>
      </c>
    </row>
    <row r="16" spans="2:10" ht="40.15" customHeight="1" x14ac:dyDescent="0.25">
      <c r="C16" s="26" t="s">
        <v>71</v>
      </c>
      <c r="D16" s="64">
        <v>-2500</v>
      </c>
      <c r="E16" s="64"/>
      <c r="F16" s="66">
        <f>OperatingExpenses2[[#This Row],[Estimated]]-OperatingExpenses2[[#This Row],[Actual]]</f>
        <v>-2500</v>
      </c>
      <c r="G16" s="6"/>
      <c r="J16" s="63" t="s">
        <v>90</v>
      </c>
    </row>
    <row r="17" spans="3:12" ht="40.15" customHeight="1" x14ac:dyDescent="0.25">
      <c r="C17" s="26" t="s">
        <v>72</v>
      </c>
      <c r="D17" s="64">
        <v>-1800</v>
      </c>
      <c r="E17" s="64"/>
      <c r="F17" s="66">
        <f>OperatingExpenses2[[#This Row],[Estimated]]-OperatingExpenses2[[#This Row],[Actual]]</f>
        <v>-1800</v>
      </c>
      <c r="G17" s="6"/>
      <c r="J17" s="63" t="s">
        <v>73</v>
      </c>
      <c r="L17">
        <v>443.29</v>
      </c>
    </row>
    <row r="18" spans="3:12" ht="40.15" customHeight="1" x14ac:dyDescent="0.25">
      <c r="C18" s="26" t="s">
        <v>74</v>
      </c>
      <c r="D18" s="64">
        <v>-2000</v>
      </c>
      <c r="E18" s="64"/>
      <c r="F18" s="66">
        <f>OperatingExpenses2[[#This Row],[Estimated]]-OperatingExpenses2[[#This Row],[Actual]]</f>
        <v>-2000</v>
      </c>
      <c r="G18" s="6"/>
      <c r="J18" s="63" t="s">
        <v>77</v>
      </c>
    </row>
    <row r="19" spans="3:12" ht="40.15" customHeight="1" x14ac:dyDescent="0.25">
      <c r="C19" s="26" t="s">
        <v>75</v>
      </c>
      <c r="D19" s="64">
        <v>-1000</v>
      </c>
      <c r="E19" s="64"/>
      <c r="F19" s="66">
        <f>OperatingExpenses2[[#This Row],[Estimated]]-OperatingExpenses2[[#This Row],[Actual]]</f>
        <v>-1000</v>
      </c>
      <c r="G19" s="6"/>
      <c r="J19" s="63" t="s">
        <v>78</v>
      </c>
    </row>
    <row r="20" spans="3:12" ht="40.15" customHeight="1" x14ac:dyDescent="0.25">
      <c r="C20" s="26" t="s">
        <v>76</v>
      </c>
      <c r="D20" s="64">
        <v>-3000</v>
      </c>
      <c r="E20" s="64"/>
      <c r="F20" s="66">
        <f>OperatingExpenses2[[#This Row],[Estimated]]-OperatingExpenses2[[#This Row],[Actual]]</f>
        <v>-3000</v>
      </c>
      <c r="G20" s="6"/>
      <c r="J20" s="63" t="s">
        <v>79</v>
      </c>
    </row>
    <row r="21" spans="3:12" ht="40.15" customHeight="1" x14ac:dyDescent="0.25">
      <c r="C21" s="26" t="s">
        <v>91</v>
      </c>
      <c r="D21" s="64">
        <v>-791</v>
      </c>
      <c r="E21" s="64"/>
      <c r="F21" s="66">
        <f>OperatingExpenses2[[#This Row],[Estimated]]-OperatingExpenses2[[#This Row],[Actual]]</f>
        <v>-791</v>
      </c>
      <c r="G21" s="6"/>
    </row>
    <row r="22" spans="3:12" ht="40.15" customHeight="1" x14ac:dyDescent="0.25">
      <c r="C22" s="26"/>
      <c r="D22" s="64"/>
      <c r="E22" s="64"/>
      <c r="F22" s="66">
        <f>OperatingExpenses2[[#This Row],[Estimated]]-OperatingExpenses2[[#This Row],[Actual]]</f>
        <v>0</v>
      </c>
      <c r="G22" s="6"/>
      <c r="K22" t="s">
        <v>1</v>
      </c>
    </row>
    <row r="23" spans="3:12" ht="40.15" customHeight="1" x14ac:dyDescent="0.25">
      <c r="C23" s="26"/>
      <c r="D23" s="64"/>
      <c r="E23" s="64"/>
      <c r="F23" s="66">
        <f>OperatingExpenses2[[#This Row],[Estimated]]-OperatingExpenses2[[#This Row],[Actual]]</f>
        <v>0</v>
      </c>
      <c r="G23" s="6"/>
    </row>
    <row r="24" spans="3:12" ht="40.15" customHeight="1" x14ac:dyDescent="0.25">
      <c r="C24" s="26"/>
      <c r="D24" s="64"/>
      <c r="E24" s="64"/>
      <c r="F24" s="66">
        <f>OperatingExpenses2[[#This Row],[Estimated]]-OperatingExpenses2[[#This Row],[Actual]]</f>
        <v>0</v>
      </c>
      <c r="G24" s="6"/>
    </row>
    <row r="25" spans="3:12" ht="40.15" customHeight="1" x14ac:dyDescent="0.25">
      <c r="C25" s="26"/>
      <c r="D25" s="64"/>
      <c r="E25" s="64"/>
      <c r="F25" s="66">
        <f>OperatingExpenses2[[#This Row],[Estimated]]-OperatingExpenses2[[#This Row],[Actual]]</f>
        <v>0</v>
      </c>
      <c r="G25" s="6"/>
    </row>
    <row r="26" spans="3:12" ht="40.15" customHeight="1" x14ac:dyDescent="0.25">
      <c r="C26" s="26"/>
      <c r="D26" s="64"/>
      <c r="E26" s="64"/>
      <c r="F26" s="66">
        <f>OperatingExpenses2[[#This Row],[Estimated]]-OperatingExpenses2[[#This Row],[Actual]]</f>
        <v>0</v>
      </c>
      <c r="G26" s="6"/>
    </row>
    <row r="27" spans="3:12" ht="40.15" customHeight="1" x14ac:dyDescent="0.25">
      <c r="C27" s="26"/>
      <c r="D27" s="64"/>
      <c r="E27" s="64"/>
      <c r="F27" s="66">
        <f>OperatingExpenses2[[#This Row],[Estimated]]-OperatingExpenses2[[#This Row],[Actual]]</f>
        <v>0</v>
      </c>
      <c r="G27" s="6"/>
    </row>
    <row r="28" spans="3:12" ht="40.15" customHeight="1" x14ac:dyDescent="0.25">
      <c r="C28" s="28" t="s">
        <v>9</v>
      </c>
      <c r="D28" s="72">
        <f>SUBTOTAL(109,OperatingExpenses2[Estimated])</f>
        <v>-206591</v>
      </c>
      <c r="E28" s="72">
        <f>SUBTOTAL(109,OperatingExpenses2[Actual])</f>
        <v>-3919.45</v>
      </c>
      <c r="F28" s="72">
        <f>SUBTOTAL(109,OperatingExpenses2[Difference])</f>
        <v>-202671.55</v>
      </c>
      <c r="G28" s="7"/>
    </row>
  </sheetData>
  <sheetProtection insertColumns="0" insertRows="0" deleteColumns="0" deleteRows="0" selectLockedCells="1" autoFilter="0"/>
  <dataConsolidate/>
  <conditionalFormatting sqref="C7:F27">
    <cfRule type="cellIs" dxfId="9" priority="1" operator="lessThan">
      <formula>0</formula>
    </cfRule>
  </conditionalFormatting>
  <dataValidations count="8">
    <dataValidation allowBlank="1" showInputMessage="1" showErrorMessage="1" prompt="Title of this worksheet is in this cell. Enter Date in cell C4. " sqref="C3" xr:uid="{E58E2E42-D7D4-4981-9FD8-C78C689AA4F6}"/>
    <dataValidation allowBlank="1" showInputMessage="1" showErrorMessage="1" prompt="Enter Date in this cell." sqref="C4" xr:uid="{2F43EE70-663D-49AC-A8C1-55908FD866A9}"/>
    <dataValidation allowBlank="1" showInputMessage="1" showErrorMessage="1" prompt="Difference of Estimated and Actual Operating Expenses is automatically calculated in this column under this heading" sqref="F6" xr:uid="{8CE3088E-D83D-408F-8A2E-4140B0182463}"/>
    <dataValidation allowBlank="1" showInputMessage="1" showErrorMessage="1" prompt="Enter Actual amount in this column under this heading" sqref="E6" xr:uid="{C14A4B23-E182-422C-9B90-311641442749}"/>
    <dataValidation allowBlank="1" showInputMessage="1" showErrorMessage="1" prompt="Enter Estimated amount in this column under this heading" sqref="D6" xr:uid="{CCE2C2C0-3215-4326-AC65-A7F5AE08859F}"/>
    <dataValidation allowBlank="1" showInputMessage="1" showErrorMessage="1" prompt="Enter Operating Expenses in this column under this heading. Use heading filters to find specific entries" sqref="C6" xr:uid="{CC4CCB8F-03C6-43B6-90DD-DA66625E4F59}"/>
    <dataValidation allowBlank="1" showInputMessage="1" showErrorMessage="1" errorTitle="ALERT" error="This cell is automatically populated and should not be overwitten. Overwriting this cell would break calculations in this worksheet." sqref="F7:F27" xr:uid="{15452B64-C539-4AE8-AC43-ED2188445CF8}"/>
    <dataValidation type="custom" allowBlank="1" showInputMessage="1" showErrorMessage="1" errorTitle="ALERT" error="This cell is automatically populated and should not be overwitten. Overwriting this cell would break calculations in this worksheet." sqref="G7:G27" xr:uid="{47F700A8-439B-4092-82C7-4D4CC2D80A06}">
      <formula1>LEN(G7)=""</formula1>
    </dataValidation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ignoredErrors>
    <ignoredError sqref="D9:D11 D13 D12 D14:D15 D17:D20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F37D41E-9EB4-4919-85C8-35051E28D4E9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0CF6-F597-4082-9DB8-60D50361838F}">
  <sheetPr>
    <tabColor theme="4"/>
    <pageSetUpPr autoPageBreaks="0" fitToPage="1"/>
  </sheetPr>
  <dimension ref="B1:K28"/>
  <sheetViews>
    <sheetView showGridLines="0" zoomScaleNormal="100" workbookViewId="0">
      <selection activeCell="D9" sqref="D9"/>
    </sheetView>
  </sheetViews>
  <sheetFormatPr defaultColWidth="8.85546875" defaultRowHeight="30" customHeight="1" x14ac:dyDescent="0.25"/>
  <cols>
    <col min="1" max="2" width="2.42578125" customWidth="1"/>
    <col min="3" max="3" width="45.85546875" customWidth="1"/>
    <col min="4" max="6" width="20.85546875" customWidth="1"/>
    <col min="7" max="8" width="2.42578125" customWidth="1"/>
    <col min="10" max="10" width="37.140625" customWidth="1"/>
  </cols>
  <sheetData>
    <row r="1" spans="2:10" ht="16.5" customHeight="1" x14ac:dyDescent="0.25"/>
    <row r="2" spans="2:10" ht="16.5" customHeight="1" x14ac:dyDescent="0.25">
      <c r="B2" s="17"/>
      <c r="C2" s="17"/>
      <c r="D2" s="17"/>
      <c r="E2" s="17"/>
      <c r="F2" s="17"/>
      <c r="G2" s="17"/>
    </row>
    <row r="3" spans="2:10" ht="60" customHeight="1" x14ac:dyDescent="0.7">
      <c r="B3" s="17"/>
      <c r="C3" s="29" t="s">
        <v>5</v>
      </c>
      <c r="D3" s="18"/>
      <c r="E3" s="19"/>
      <c r="F3" s="20"/>
      <c r="G3" s="13"/>
    </row>
    <row r="4" spans="2:10" ht="30" customHeight="1" x14ac:dyDescent="0.2">
      <c r="B4" s="17"/>
      <c r="C4" s="21" t="s">
        <v>53</v>
      </c>
      <c r="D4" s="18"/>
      <c r="E4" s="19"/>
      <c r="F4" s="20"/>
      <c r="G4" s="13"/>
    </row>
    <row r="5" spans="2:10" ht="20.100000000000001" customHeight="1" x14ac:dyDescent="0.25">
      <c r="B5" s="17"/>
      <c r="C5" s="22"/>
      <c r="D5" s="22"/>
      <c r="E5" s="22"/>
      <c r="F5" s="23"/>
      <c r="G5" s="14"/>
    </row>
    <row r="6" spans="2:10" ht="40.15" customHeight="1" x14ac:dyDescent="0.25">
      <c r="C6" s="30" t="s">
        <v>11</v>
      </c>
      <c r="D6" s="31" t="s">
        <v>2</v>
      </c>
      <c r="E6" s="31" t="s">
        <v>3</v>
      </c>
      <c r="F6" s="31" t="s">
        <v>4</v>
      </c>
      <c r="G6" s="8"/>
      <c r="J6" s="59" t="s">
        <v>40</v>
      </c>
    </row>
    <row r="7" spans="2:10" ht="40.15" customHeight="1" x14ac:dyDescent="0.25">
      <c r="C7" s="26" t="s">
        <v>66</v>
      </c>
      <c r="D7" s="64">
        <v>0</v>
      </c>
      <c r="E7" s="64"/>
      <c r="F7" s="66">
        <f>OperatingExpenses27[[#This Row],[Estimated]]-OperatingExpenses27[[#This Row],[Actual]]</f>
        <v>0</v>
      </c>
      <c r="G7" s="6"/>
      <c r="J7" s="63"/>
    </row>
    <row r="8" spans="2:10" ht="54.75" customHeight="1" x14ac:dyDescent="0.25">
      <c r="C8" s="26" t="s">
        <v>67</v>
      </c>
      <c r="D8" s="64">
        <v>-750</v>
      </c>
      <c r="E8" s="64"/>
      <c r="F8" s="66">
        <f>OperatingExpenses27[[#This Row],[Estimated]]-OperatingExpenses27[[#This Row],[Actual]]</f>
        <v>-750</v>
      </c>
      <c r="G8" s="6"/>
      <c r="J8" s="63"/>
    </row>
    <row r="9" spans="2:10" ht="40.15" customHeight="1" x14ac:dyDescent="0.25">
      <c r="C9" s="26"/>
      <c r="D9" s="64"/>
      <c r="E9" s="64"/>
      <c r="F9" s="66">
        <f>OperatingExpenses27[[#This Row],[Estimated]]-OperatingExpenses27[[#This Row],[Actual]]</f>
        <v>0</v>
      </c>
      <c r="G9" s="6"/>
    </row>
    <row r="10" spans="2:10" ht="40.15" customHeight="1" x14ac:dyDescent="0.25">
      <c r="C10" s="26"/>
      <c r="D10" s="64"/>
      <c r="E10" s="64"/>
      <c r="F10" s="66">
        <f>OperatingExpenses27[[#This Row],[Estimated]]-OperatingExpenses27[[#This Row],[Actual]]</f>
        <v>0</v>
      </c>
      <c r="G10" s="6"/>
    </row>
    <row r="11" spans="2:10" ht="40.15" customHeight="1" x14ac:dyDescent="0.25">
      <c r="C11" s="26"/>
      <c r="D11" s="64"/>
      <c r="E11" s="64"/>
      <c r="F11" s="66">
        <f>OperatingExpenses27[[#This Row],[Estimated]]-OperatingExpenses27[[#This Row],[Actual]]</f>
        <v>0</v>
      </c>
      <c r="G11" s="6"/>
      <c r="J11" s="63"/>
    </row>
    <row r="12" spans="2:10" ht="40.15" customHeight="1" x14ac:dyDescent="0.25">
      <c r="C12" s="26"/>
      <c r="D12" s="64"/>
      <c r="E12" s="64"/>
      <c r="F12" s="66">
        <f>OperatingExpenses27[[#This Row],[Estimated]]-OperatingExpenses27[[#This Row],[Actual]]</f>
        <v>0</v>
      </c>
      <c r="G12" s="6"/>
    </row>
    <row r="13" spans="2:10" ht="40.15" customHeight="1" x14ac:dyDescent="0.25">
      <c r="C13" s="26"/>
      <c r="D13" s="73"/>
      <c r="E13" s="73"/>
      <c r="F13" s="66">
        <f>OperatingExpenses27[[#This Row],[Estimated]]-OperatingExpenses27[[#This Row],[Actual]]</f>
        <v>0</v>
      </c>
      <c r="G13" s="6"/>
    </row>
    <row r="14" spans="2:10" ht="40.15" customHeight="1" x14ac:dyDescent="0.25">
      <c r="C14" s="26"/>
      <c r="D14" s="64"/>
      <c r="E14" s="64"/>
      <c r="F14" s="66">
        <f>OperatingExpenses27[[#This Row],[Estimated]]-OperatingExpenses27[[#This Row],[Actual]]</f>
        <v>0</v>
      </c>
      <c r="G14" s="6"/>
      <c r="J14" s="63"/>
    </row>
    <row r="15" spans="2:10" ht="40.15" customHeight="1" x14ac:dyDescent="0.25">
      <c r="C15" s="26"/>
      <c r="D15" s="64"/>
      <c r="E15" s="64"/>
      <c r="F15" s="66">
        <f>OperatingExpenses27[[#This Row],[Estimated]]-OperatingExpenses27[[#This Row],[Actual]]</f>
        <v>0</v>
      </c>
      <c r="G15" s="6"/>
    </row>
    <row r="16" spans="2:10" ht="40.15" customHeight="1" x14ac:dyDescent="0.25">
      <c r="C16" s="26"/>
      <c r="D16" s="64"/>
      <c r="E16" s="64"/>
      <c r="F16" s="66">
        <f>OperatingExpenses27[[#This Row],[Estimated]]-OperatingExpenses27[[#This Row],[Actual]]</f>
        <v>0</v>
      </c>
      <c r="G16" s="6"/>
    </row>
    <row r="17" spans="3:11" ht="40.15" customHeight="1" x14ac:dyDescent="0.25">
      <c r="C17" s="26"/>
      <c r="D17" s="64"/>
      <c r="E17" s="64"/>
      <c r="F17" s="66">
        <f>OperatingExpenses27[[#This Row],[Estimated]]-OperatingExpenses27[[#This Row],[Actual]]</f>
        <v>0</v>
      </c>
      <c r="G17" s="6"/>
    </row>
    <row r="18" spans="3:11" ht="40.15" customHeight="1" x14ac:dyDescent="0.25">
      <c r="C18" s="26"/>
      <c r="D18" s="64"/>
      <c r="E18" s="64"/>
      <c r="F18" s="66">
        <f>OperatingExpenses27[[#This Row],[Estimated]]-OperatingExpenses27[[#This Row],[Actual]]</f>
        <v>0</v>
      </c>
      <c r="G18" s="6"/>
    </row>
    <row r="19" spans="3:11" ht="40.15" customHeight="1" x14ac:dyDescent="0.25">
      <c r="C19" s="26"/>
      <c r="D19" s="64"/>
      <c r="E19" s="64"/>
      <c r="F19" s="66">
        <f>OperatingExpenses27[[#This Row],[Estimated]]-OperatingExpenses27[[#This Row],[Actual]]</f>
        <v>0</v>
      </c>
      <c r="G19" s="6"/>
    </row>
    <row r="20" spans="3:11" ht="40.15" customHeight="1" x14ac:dyDescent="0.25">
      <c r="C20" s="26"/>
      <c r="D20" s="64"/>
      <c r="E20" s="64"/>
      <c r="F20" s="66">
        <f>OperatingExpenses27[[#This Row],[Estimated]]-OperatingExpenses27[[#This Row],[Actual]]</f>
        <v>0</v>
      </c>
      <c r="G20" s="6"/>
    </row>
    <row r="21" spans="3:11" ht="40.15" customHeight="1" x14ac:dyDescent="0.25">
      <c r="C21" s="26"/>
      <c r="D21" s="64"/>
      <c r="E21" s="64"/>
      <c r="F21" s="66">
        <f>OperatingExpenses27[[#This Row],[Estimated]]-OperatingExpenses27[[#This Row],[Actual]]</f>
        <v>0</v>
      </c>
      <c r="G21" s="6"/>
    </row>
    <row r="22" spans="3:11" ht="40.15" customHeight="1" x14ac:dyDescent="0.25">
      <c r="C22" s="26"/>
      <c r="D22" s="64"/>
      <c r="E22" s="64"/>
      <c r="F22" s="66">
        <f>OperatingExpenses27[[#This Row],[Estimated]]-OperatingExpenses27[[#This Row],[Actual]]</f>
        <v>0</v>
      </c>
      <c r="G22" s="6"/>
      <c r="K22" t="s">
        <v>1</v>
      </c>
    </row>
    <row r="23" spans="3:11" ht="40.15" customHeight="1" x14ac:dyDescent="0.25">
      <c r="C23" s="26"/>
      <c r="D23" s="64"/>
      <c r="E23" s="64"/>
      <c r="F23" s="66">
        <f>OperatingExpenses27[[#This Row],[Estimated]]-OperatingExpenses27[[#This Row],[Actual]]</f>
        <v>0</v>
      </c>
      <c r="G23" s="6"/>
    </row>
    <row r="24" spans="3:11" ht="40.15" customHeight="1" x14ac:dyDescent="0.25">
      <c r="C24" s="26"/>
      <c r="D24" s="64"/>
      <c r="E24" s="64"/>
      <c r="F24" s="66">
        <f>OperatingExpenses27[[#This Row],[Estimated]]-OperatingExpenses27[[#This Row],[Actual]]</f>
        <v>0</v>
      </c>
      <c r="G24" s="6"/>
    </row>
    <row r="25" spans="3:11" ht="40.15" customHeight="1" x14ac:dyDescent="0.25">
      <c r="C25" s="26"/>
      <c r="D25" s="64"/>
      <c r="E25" s="64"/>
      <c r="F25" s="66">
        <f>OperatingExpenses27[[#This Row],[Estimated]]-OperatingExpenses27[[#This Row],[Actual]]</f>
        <v>0</v>
      </c>
      <c r="G25" s="6"/>
    </row>
    <row r="26" spans="3:11" ht="40.15" customHeight="1" x14ac:dyDescent="0.25">
      <c r="C26" s="26"/>
      <c r="D26" s="64"/>
      <c r="E26" s="64"/>
      <c r="F26" s="66">
        <f>OperatingExpenses27[[#This Row],[Estimated]]-OperatingExpenses27[[#This Row],[Actual]]</f>
        <v>0</v>
      </c>
      <c r="G26" s="6"/>
    </row>
    <row r="27" spans="3:11" ht="40.15" customHeight="1" x14ac:dyDescent="0.25">
      <c r="C27" s="26"/>
      <c r="D27" s="64"/>
      <c r="E27" s="64"/>
      <c r="F27" s="66">
        <f>OperatingExpenses27[[#This Row],[Estimated]]-OperatingExpenses27[[#This Row],[Actual]]</f>
        <v>0</v>
      </c>
      <c r="G27" s="6"/>
    </row>
    <row r="28" spans="3:11" ht="40.15" customHeight="1" x14ac:dyDescent="0.25">
      <c r="C28" s="28" t="s">
        <v>9</v>
      </c>
      <c r="D28" s="72">
        <f>SUBTOTAL(109,OperatingExpenses27[Estimated])</f>
        <v>-750</v>
      </c>
      <c r="E28" s="72">
        <f>SUBTOTAL(109,OperatingExpenses27[Actual])</f>
        <v>0</v>
      </c>
      <c r="F28" s="72">
        <f>SUBTOTAL(109,OperatingExpenses27[Difference])</f>
        <v>-750</v>
      </c>
      <c r="G28" s="7"/>
    </row>
  </sheetData>
  <sheetProtection insertColumns="0" insertRows="0" deleteColumns="0" deleteRows="0" selectLockedCells="1" autoFilter="0"/>
  <dataConsolidate/>
  <conditionalFormatting sqref="C7:F27">
    <cfRule type="cellIs" dxfId="8" priority="1" operator="lessThan">
      <formula>0</formula>
    </cfRule>
  </conditionalFormatting>
  <dataValidations count="8">
    <dataValidation type="custom" allowBlank="1" showInputMessage="1" showErrorMessage="1" errorTitle="ALERT" error="This cell is automatically populated and should not be overwitten. Overwriting this cell would break calculations in this worksheet." sqref="G7:G27" xr:uid="{F623284F-1920-4A85-9E76-B3EFA02CD7D4}">
      <formula1>LEN(G7)=""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7:F27" xr:uid="{39161BB4-B7BD-48BC-8ED8-EB3760F3B6FC}"/>
    <dataValidation allowBlank="1" showInputMessage="1" showErrorMessage="1" prompt="Enter Operating Expenses in this column under this heading. Use heading filters to find specific entries" sqref="C6" xr:uid="{09495D93-FFBE-4DBA-B561-3BEEAB8DC5EE}"/>
    <dataValidation allowBlank="1" showInputMessage="1" showErrorMessage="1" prompt="Enter Estimated amount in this column under this heading" sqref="D6" xr:uid="{0FD75246-34C6-43AA-BF9F-740B29EC216A}"/>
    <dataValidation allowBlank="1" showInputMessage="1" showErrorMessage="1" prompt="Enter Actual amount in this column under this heading" sqref="E6" xr:uid="{31A11BF4-C8C1-4D7E-A6A5-F841838D6493}"/>
    <dataValidation allowBlank="1" showInputMessage="1" showErrorMessage="1" prompt="Difference of Estimated and Actual Operating Expenses is automatically calculated in this column under this heading" sqref="F6" xr:uid="{345BC4C3-0CEA-464A-A527-C57D6DD18DBD}"/>
    <dataValidation allowBlank="1" showInputMessage="1" showErrorMessage="1" prompt="Enter Date in this cell." sqref="C4" xr:uid="{CB3B1449-5D47-4FC1-B41C-830EDD9F59FD}"/>
    <dataValidation allowBlank="1" showInputMessage="1" showErrorMessage="1" prompt="Title of this worksheet is in this cell. Enter Date in cell C4. " sqref="C3" xr:uid="{3E1CCF8D-1C32-4766-A817-7E720001E07C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AF0CE26-A14E-48EE-B14D-093630ACC028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G7:G27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autoPageBreaks="0" fitToPage="1"/>
  </sheetPr>
  <dimension ref="B1:H19"/>
  <sheetViews>
    <sheetView showGridLines="0" tabSelected="1" zoomScaleNormal="100" workbookViewId="0">
      <selection activeCell="C11" sqref="C11"/>
    </sheetView>
  </sheetViews>
  <sheetFormatPr defaultColWidth="8.85546875" defaultRowHeight="30" customHeight="1" x14ac:dyDescent="0.25"/>
  <cols>
    <col min="1" max="2" width="2.42578125" customWidth="1"/>
    <col min="3" max="3" width="45.85546875" customWidth="1"/>
    <col min="4" max="6" width="20.85546875" customWidth="1"/>
    <col min="7" max="7" width="2.42578125" customWidth="1"/>
    <col min="8" max="8" width="38.7109375" customWidth="1"/>
  </cols>
  <sheetData>
    <row r="1" spans="2:8" ht="16.5" customHeight="1" x14ac:dyDescent="0.25"/>
    <row r="2" spans="2:8" ht="16.5" customHeight="1" x14ac:dyDescent="0.25">
      <c r="B2" s="17"/>
      <c r="C2" s="17"/>
      <c r="D2" s="17"/>
      <c r="E2" s="17"/>
      <c r="F2" s="17"/>
    </row>
    <row r="3" spans="2:8" ht="60" customHeight="1" x14ac:dyDescent="0.7">
      <c r="B3" s="17"/>
      <c r="C3" s="29" t="s">
        <v>93</v>
      </c>
      <c r="D3" s="18"/>
      <c r="E3" s="19"/>
      <c r="F3" s="20"/>
      <c r="G3" s="57"/>
    </row>
    <row r="4" spans="2:8" ht="30" customHeight="1" x14ac:dyDescent="0.2">
      <c r="B4" s="17"/>
      <c r="C4" s="21" t="s">
        <v>53</v>
      </c>
      <c r="D4" s="18"/>
      <c r="E4" s="19"/>
      <c r="F4" s="20"/>
      <c r="G4" s="57"/>
    </row>
    <row r="5" spans="2:8" ht="20.100000000000001" customHeight="1" x14ac:dyDescent="0.25">
      <c r="B5" s="17"/>
      <c r="C5" s="22"/>
      <c r="D5" s="22"/>
      <c r="E5" s="22"/>
      <c r="F5" s="23"/>
      <c r="G5" s="58"/>
    </row>
    <row r="6" spans="2:8" ht="40.15" customHeight="1" x14ac:dyDescent="0.25">
      <c r="C6" s="30" t="s">
        <v>11</v>
      </c>
      <c r="D6" s="31" t="s">
        <v>2</v>
      </c>
      <c r="E6" s="31" t="s">
        <v>3</v>
      </c>
      <c r="F6" s="31" t="s">
        <v>4</v>
      </c>
      <c r="G6" s="8"/>
      <c r="H6" s="59" t="s">
        <v>40</v>
      </c>
    </row>
    <row r="7" spans="2:8" ht="40.15" customHeight="1" x14ac:dyDescent="0.25">
      <c r="C7" s="26" t="s">
        <v>36</v>
      </c>
      <c r="D7" s="67">
        <v>-4250</v>
      </c>
      <c r="E7" s="68">
        <v>-3919.45</v>
      </c>
      <c r="F7" s="69">
        <f>OperatingExpenses[[#This Row],[Actual]]-OperatingExpenses[[#This Row],[Estimated]]</f>
        <v>330.55000000000018</v>
      </c>
      <c r="G7" s="6"/>
    </row>
    <row r="8" spans="2:8" ht="66" customHeight="1" x14ac:dyDescent="0.25">
      <c r="C8" s="26" t="s">
        <v>37</v>
      </c>
      <c r="D8" s="67">
        <v>-600</v>
      </c>
      <c r="E8" s="68"/>
      <c r="F8" s="69">
        <f>OperatingExpenses[[#This Row],[Actual]]-OperatingExpenses[[#This Row],[Estimated]]</f>
        <v>600</v>
      </c>
      <c r="G8" s="6"/>
      <c r="H8" s="63" t="s">
        <v>41</v>
      </c>
    </row>
    <row r="9" spans="2:8" ht="62.25" customHeight="1" x14ac:dyDescent="0.25">
      <c r="C9" s="26" t="s">
        <v>38</v>
      </c>
      <c r="D9" s="67">
        <v>-900</v>
      </c>
      <c r="E9" s="68"/>
      <c r="F9" s="69">
        <f>OperatingExpenses[[#This Row],[Actual]]-OperatingExpenses[[#This Row],[Estimated]]</f>
        <v>900</v>
      </c>
      <c r="G9" s="6"/>
      <c r="H9" s="63" t="s">
        <v>42</v>
      </c>
    </row>
    <row r="10" spans="2:8" ht="40.15" customHeight="1" x14ac:dyDescent="0.25">
      <c r="C10" s="26" t="s">
        <v>94</v>
      </c>
      <c r="D10" s="68">
        <v>-1000</v>
      </c>
      <c r="E10" s="68"/>
      <c r="F10" s="69">
        <f>OperatingExpenses[[#This Row],[Actual]]-OperatingExpenses[[#This Row],[Estimated]]</f>
        <v>1000</v>
      </c>
      <c r="G10" s="6"/>
      <c r="H10" s="63"/>
    </row>
    <row r="11" spans="2:8" ht="81" customHeight="1" x14ac:dyDescent="0.25">
      <c r="C11" s="28" t="s">
        <v>39</v>
      </c>
      <c r="D11" s="70">
        <f>SUBTOTAL(109,OperatingExpenses[Estimated])</f>
        <v>-6750</v>
      </c>
      <c r="E11" s="70">
        <f>SUBTOTAL(109,OperatingExpenses[Actual])</f>
        <v>-3919.45</v>
      </c>
      <c r="F11" s="70">
        <f>SUBTOTAL(109,OperatingExpenses[Difference])</f>
        <v>2830.55</v>
      </c>
      <c r="G11" s="7"/>
      <c r="H11" s="63" t="s">
        <v>43</v>
      </c>
    </row>
    <row r="19" spans="6:6" ht="30" customHeight="1" x14ac:dyDescent="0.25">
      <c r="F19" t="s">
        <v>92</v>
      </c>
    </row>
  </sheetData>
  <sheetProtection insertColumns="0" insertRows="0" deleteColumns="0" deleteRows="0" selectLockedCells="1" autoFilter="0"/>
  <dataConsolidate/>
  <conditionalFormatting sqref="C7:F10">
    <cfRule type="cellIs" dxfId="7" priority="1" operator="lessThan">
      <formula>0</formula>
    </cfRule>
  </conditionalFormatting>
  <dataValidations count="8">
    <dataValidation type="custom" allowBlank="1" showInputMessage="1" showErrorMessage="1" errorTitle="ALERT" error="This cell is automatically populated and should not be overwitten. Overwriting this cell would break calculations in this worksheet." sqref="G7:G10" xr:uid="{00000000-0002-0000-0300-000000000000}">
      <formula1>LEN(G7)=""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7:F10" xr:uid="{00000000-0002-0000-0300-000001000000}"/>
    <dataValidation allowBlank="1" showInputMessage="1" showErrorMessage="1" prompt="Enter Operating Expenses in this column under this heading. Use heading filters to find specific entries" sqref="C6" xr:uid="{00000000-0002-0000-0300-000002000000}"/>
    <dataValidation allowBlank="1" showInputMessage="1" showErrorMessage="1" prompt="Enter Estimated amount in this column under this heading" sqref="D6" xr:uid="{00000000-0002-0000-0300-000003000000}"/>
    <dataValidation allowBlank="1" showInputMessage="1" showErrorMessage="1" prompt="Enter Actual amount in this column under this heading" sqref="E6" xr:uid="{00000000-0002-0000-0300-000004000000}"/>
    <dataValidation allowBlank="1" showInputMessage="1" showErrorMessage="1" prompt="Difference of Estimated and Actual Operating Expenses is automatically calculated in this column under this heading" sqref="F6" xr:uid="{00000000-0002-0000-0300-000005000000}"/>
    <dataValidation allowBlank="1" showInputMessage="1" showErrorMessage="1" prompt="Enter Date in this cell." sqref="C4" xr:uid="{AE2899A1-3728-4750-B2AE-F582FF8A75CA}"/>
    <dataValidation allowBlank="1" showInputMessage="1" showErrorMessage="1" prompt="Title of this worksheet is in this cell. Enter Date in cell C4. " sqref="C3" xr:uid="{27FCD364-8E73-45DC-8E99-8D52C6531F36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AB23-2E90-4588-9F12-1ECD1995E745}">
  <sheetPr>
    <tabColor theme="4"/>
    <pageSetUpPr autoPageBreaks="0" fitToPage="1"/>
  </sheetPr>
  <dimension ref="B1:O27"/>
  <sheetViews>
    <sheetView showGridLines="0" zoomScaleNormal="100" workbookViewId="0">
      <selection activeCell="J27" sqref="J27"/>
    </sheetView>
  </sheetViews>
  <sheetFormatPr defaultColWidth="8.85546875" defaultRowHeight="30" customHeight="1" x14ac:dyDescent="0.25"/>
  <cols>
    <col min="1" max="2" width="2.42578125" customWidth="1"/>
    <col min="3" max="3" width="45.85546875" customWidth="1"/>
    <col min="4" max="6" width="20.85546875" customWidth="1"/>
    <col min="7" max="8" width="2.42578125" customWidth="1"/>
    <col min="10" max="10" width="26.85546875" customWidth="1"/>
  </cols>
  <sheetData>
    <row r="1" spans="2:15" ht="16.5" customHeight="1" x14ac:dyDescent="0.25"/>
    <row r="2" spans="2:15" ht="16.5" customHeight="1" x14ac:dyDescent="0.25">
      <c r="B2" s="17"/>
      <c r="C2" s="17"/>
      <c r="D2" s="17"/>
      <c r="E2" s="17"/>
      <c r="F2" s="17"/>
      <c r="G2" s="17"/>
    </row>
    <row r="3" spans="2:15" ht="60" customHeight="1" x14ac:dyDescent="0.7">
      <c r="B3" s="17"/>
      <c r="C3" s="29" t="s">
        <v>46</v>
      </c>
      <c r="D3" s="18"/>
      <c r="E3" s="19"/>
      <c r="F3" s="20"/>
      <c r="G3" s="13"/>
    </row>
    <row r="4" spans="2:15" ht="30" customHeight="1" x14ac:dyDescent="0.2">
      <c r="B4" s="17"/>
      <c r="C4" s="21" t="s">
        <v>53</v>
      </c>
      <c r="D4" s="18"/>
      <c r="E4" s="19"/>
      <c r="F4" s="20"/>
      <c r="G4" s="13"/>
    </row>
    <row r="5" spans="2:15" ht="20.100000000000001" customHeight="1" x14ac:dyDescent="0.25">
      <c r="B5" s="17"/>
      <c r="C5" s="22"/>
      <c r="D5" s="22"/>
      <c r="E5" s="22"/>
      <c r="F5" s="23"/>
      <c r="G5" s="14"/>
    </row>
    <row r="6" spans="2:15" ht="40.15" customHeight="1" x14ac:dyDescent="0.25">
      <c r="C6" s="30" t="s">
        <v>11</v>
      </c>
      <c r="D6" s="31" t="s">
        <v>2</v>
      </c>
      <c r="E6" s="31" t="s">
        <v>3</v>
      </c>
      <c r="F6" s="31" t="s">
        <v>4</v>
      </c>
      <c r="G6" s="8"/>
      <c r="J6" s="59" t="s">
        <v>40</v>
      </c>
    </row>
    <row r="7" spans="2:15" ht="40.15" customHeight="1" x14ac:dyDescent="0.25">
      <c r="C7" s="26" t="s">
        <v>60</v>
      </c>
      <c r="D7" s="71"/>
      <c r="E7" s="71"/>
      <c r="F7" s="72">
        <f>OperatingExpenses25[[#This Row],[Estimated]]-OperatingExpenses25[[#This Row],[Actual]]</f>
        <v>0</v>
      </c>
      <c r="G7" s="6"/>
    </row>
    <row r="8" spans="2:15" ht="40.15" customHeight="1" x14ac:dyDescent="0.25">
      <c r="C8" s="26" t="s">
        <v>86</v>
      </c>
      <c r="D8" s="71"/>
      <c r="E8" s="71"/>
      <c r="F8" s="72">
        <f>OperatingExpenses25[[#This Row],[Estimated]]-OperatingExpenses25[[#This Row],[Actual]]</f>
        <v>0</v>
      </c>
      <c r="G8" s="6"/>
    </row>
    <row r="9" spans="2:15" ht="40.15" customHeight="1" x14ac:dyDescent="0.25">
      <c r="C9" s="26" t="s">
        <v>87</v>
      </c>
      <c r="D9" s="71"/>
      <c r="E9" s="71"/>
      <c r="F9" s="72">
        <f>OperatingExpenses25[[#This Row],[Estimated]]-OperatingExpenses25[[#This Row],[Actual]]</f>
        <v>0</v>
      </c>
      <c r="G9" s="6"/>
    </row>
    <row r="10" spans="2:15" ht="40.15" customHeight="1" x14ac:dyDescent="0.25">
      <c r="C10" s="26" t="s">
        <v>88</v>
      </c>
      <c r="D10" s="71"/>
      <c r="E10" s="71"/>
      <c r="F10" s="72">
        <f>OperatingExpenses25[[#This Row],[Estimated]]-OperatingExpenses25[[#This Row],[Actual]]</f>
        <v>0</v>
      </c>
      <c r="G10" s="6"/>
    </row>
    <row r="11" spans="2:15" ht="40.15" customHeight="1" x14ac:dyDescent="0.25">
      <c r="C11" s="26"/>
      <c r="D11" s="71">
        <v>-50000</v>
      </c>
      <c r="E11" s="71"/>
      <c r="F11" s="72">
        <f>OperatingExpenses25[[#This Row],[Estimated]]-OperatingExpenses25[[#This Row],[Actual]]</f>
        <v>-50000</v>
      </c>
      <c r="G11" s="6"/>
    </row>
    <row r="12" spans="2:15" ht="40.15" customHeight="1" x14ac:dyDescent="0.25">
      <c r="C12" s="26"/>
      <c r="D12" s="71"/>
      <c r="E12" s="71"/>
      <c r="F12" s="72">
        <f>OperatingExpenses25[[#This Row],[Estimated]]-OperatingExpenses25[[#This Row],[Actual]]</f>
        <v>0</v>
      </c>
      <c r="G12" s="6"/>
      <c r="O12">
        <f>65-14</f>
        <v>51</v>
      </c>
    </row>
    <row r="13" spans="2:15" ht="40.15" customHeight="1" x14ac:dyDescent="0.25">
      <c r="C13" s="26"/>
      <c r="D13" s="71"/>
      <c r="E13" s="71"/>
      <c r="F13" s="72">
        <f>OperatingExpenses25[[#This Row],[Estimated]]-OperatingExpenses25[[#This Row],[Actual]]</f>
        <v>0</v>
      </c>
      <c r="G13" s="6"/>
    </row>
    <row r="14" spans="2:15" ht="40.15" customHeight="1" x14ac:dyDescent="0.25">
      <c r="C14" s="26"/>
      <c r="D14" s="71"/>
      <c r="E14" s="71"/>
      <c r="F14" s="72">
        <f>OperatingExpenses25[[#This Row],[Estimated]]-OperatingExpenses25[[#This Row],[Actual]]</f>
        <v>0</v>
      </c>
      <c r="G14" s="6"/>
    </row>
    <row r="15" spans="2:15" ht="40.15" customHeight="1" x14ac:dyDescent="0.25">
      <c r="C15" s="26"/>
      <c r="D15" s="71"/>
      <c r="E15" s="71"/>
      <c r="F15" s="72">
        <f>OperatingExpenses25[[#This Row],[Estimated]]-OperatingExpenses25[[#This Row],[Actual]]</f>
        <v>0</v>
      </c>
      <c r="G15" s="6"/>
    </row>
    <row r="16" spans="2:15" ht="40.15" customHeight="1" x14ac:dyDescent="0.25">
      <c r="C16" s="26"/>
      <c r="D16" s="71"/>
      <c r="E16" s="71"/>
      <c r="F16" s="72">
        <f>OperatingExpenses25[[#This Row],[Estimated]]-OperatingExpenses25[[#This Row],[Actual]]</f>
        <v>0</v>
      </c>
      <c r="G16" s="6"/>
    </row>
    <row r="17" spans="3:11" ht="40.15" customHeight="1" x14ac:dyDescent="0.25">
      <c r="C17" s="26"/>
      <c r="D17" s="71"/>
      <c r="E17" s="71"/>
      <c r="F17" s="72">
        <f>OperatingExpenses25[[#This Row],[Estimated]]-OperatingExpenses25[[#This Row],[Actual]]</f>
        <v>0</v>
      </c>
      <c r="G17" s="6"/>
    </row>
    <row r="18" spans="3:11" ht="40.15" customHeight="1" x14ac:dyDescent="0.25">
      <c r="C18" s="26"/>
      <c r="D18" s="71"/>
      <c r="E18" s="71"/>
      <c r="F18" s="72">
        <f>OperatingExpenses25[[#This Row],[Estimated]]-OperatingExpenses25[[#This Row],[Actual]]</f>
        <v>0</v>
      </c>
      <c r="G18" s="6"/>
    </row>
    <row r="19" spans="3:11" ht="40.15" customHeight="1" x14ac:dyDescent="0.25">
      <c r="C19" s="26"/>
      <c r="D19" s="71"/>
      <c r="E19" s="71"/>
      <c r="F19" s="72">
        <f>OperatingExpenses25[[#This Row],[Estimated]]-OperatingExpenses25[[#This Row],[Actual]]</f>
        <v>0</v>
      </c>
      <c r="G19" s="6"/>
    </row>
    <row r="20" spans="3:11" ht="40.15" customHeight="1" x14ac:dyDescent="0.25">
      <c r="C20" s="26"/>
      <c r="D20" s="71"/>
      <c r="E20" s="71"/>
      <c r="F20" s="72">
        <f>OperatingExpenses25[[#This Row],[Estimated]]-OperatingExpenses25[[#This Row],[Actual]]</f>
        <v>0</v>
      </c>
      <c r="G20" s="6"/>
    </row>
    <row r="21" spans="3:11" ht="40.15" customHeight="1" x14ac:dyDescent="0.25">
      <c r="C21" s="26"/>
      <c r="D21" s="71"/>
      <c r="E21" s="71"/>
      <c r="F21" s="72">
        <f>OperatingExpenses25[[#This Row],[Estimated]]-OperatingExpenses25[[#This Row],[Actual]]</f>
        <v>0</v>
      </c>
      <c r="G21" s="6"/>
      <c r="K21" t="s">
        <v>1</v>
      </c>
    </row>
    <row r="22" spans="3:11" ht="40.15" customHeight="1" x14ac:dyDescent="0.25">
      <c r="C22" s="26"/>
      <c r="D22" s="71"/>
      <c r="E22" s="71"/>
      <c r="F22" s="72">
        <f>OperatingExpenses25[[#This Row],[Estimated]]-OperatingExpenses25[[#This Row],[Actual]]</f>
        <v>0</v>
      </c>
      <c r="G22" s="6"/>
    </row>
    <row r="23" spans="3:11" ht="40.15" customHeight="1" x14ac:dyDescent="0.25">
      <c r="C23" s="26"/>
      <c r="D23" s="71"/>
      <c r="E23" s="71"/>
      <c r="F23" s="72">
        <f>OperatingExpenses25[[#This Row],[Estimated]]-OperatingExpenses25[[#This Row],[Actual]]</f>
        <v>0</v>
      </c>
      <c r="G23" s="6"/>
    </row>
    <row r="24" spans="3:11" ht="40.15" customHeight="1" x14ac:dyDescent="0.25">
      <c r="C24" s="26"/>
      <c r="D24" s="71"/>
      <c r="E24" s="71"/>
      <c r="F24" s="72">
        <f>OperatingExpenses25[[#This Row],[Estimated]]-OperatingExpenses25[[#This Row],[Actual]]</f>
        <v>0</v>
      </c>
      <c r="G24" s="6"/>
    </row>
    <row r="25" spans="3:11" ht="40.15" customHeight="1" x14ac:dyDescent="0.25">
      <c r="C25" s="26"/>
      <c r="D25" s="71"/>
      <c r="E25" s="71"/>
      <c r="F25" s="72">
        <f>OperatingExpenses25[[#This Row],[Estimated]]-OperatingExpenses25[[#This Row],[Actual]]</f>
        <v>0</v>
      </c>
      <c r="G25" s="6"/>
    </row>
    <row r="26" spans="3:11" ht="40.15" customHeight="1" x14ac:dyDescent="0.25">
      <c r="C26" s="26"/>
      <c r="D26" s="71"/>
      <c r="E26" s="71"/>
      <c r="F26" s="72">
        <f>OperatingExpenses25[[#This Row],[Estimated]]-OperatingExpenses25[[#This Row],[Actual]]</f>
        <v>0</v>
      </c>
      <c r="G26" s="6"/>
    </row>
    <row r="27" spans="3:11" ht="40.15" customHeight="1" x14ac:dyDescent="0.25">
      <c r="C27" s="28" t="s">
        <v>9</v>
      </c>
      <c r="D27" s="72">
        <f>SUBTOTAL(109,OperatingExpenses25[Estimated])</f>
        <v>-50000</v>
      </c>
      <c r="E27" s="72">
        <f>SUBTOTAL(109,OperatingExpenses25[Actual])</f>
        <v>0</v>
      </c>
      <c r="F27" s="72">
        <f>SUBTOTAL(109,OperatingExpenses25[Difference])</f>
        <v>-50000</v>
      </c>
      <c r="G27" s="7"/>
      <c r="J27" t="s">
        <v>89</v>
      </c>
    </row>
  </sheetData>
  <sheetProtection insertColumns="0" insertRows="0" deleteColumns="0" deleteRows="0" selectLockedCells="1" autoFilter="0"/>
  <dataConsolidate/>
  <conditionalFormatting sqref="C7:F26">
    <cfRule type="cellIs" dxfId="6" priority="1" operator="lessThan">
      <formula>0</formula>
    </cfRule>
  </conditionalFormatting>
  <dataValidations count="8">
    <dataValidation type="custom" allowBlank="1" showInputMessage="1" showErrorMessage="1" errorTitle="ALERT" error="This cell is automatically populated and should not be overwitten. Overwriting this cell would break calculations in this worksheet." sqref="G7:G26" xr:uid="{C78C3F53-1B82-40E6-B9B5-124CB027A8A8}">
      <formula1>LEN(G7)=""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7:F26" xr:uid="{950221B7-91DD-4CE8-8C6F-BF1324C10BD0}"/>
    <dataValidation allowBlank="1" showInputMessage="1" showErrorMessage="1" prompt="Enter Operating Expenses in this column under this heading. Use heading filters to find specific entries" sqref="C6" xr:uid="{83C44E8C-A89C-4DB0-B895-2FA137527622}"/>
    <dataValidation allowBlank="1" showInputMessage="1" showErrorMessage="1" prompt="Enter Estimated amount in this column under this heading" sqref="D6" xr:uid="{4998EC7B-5827-4314-A4D6-37E1907B43D0}"/>
    <dataValidation allowBlank="1" showInputMessage="1" showErrorMessage="1" prompt="Enter Actual amount in this column under this heading" sqref="E6" xr:uid="{A6559769-4DBA-4677-8C09-30937987CC51}"/>
    <dataValidation allowBlank="1" showInputMessage="1" showErrorMessage="1" prompt="Difference of Estimated and Actual Operating Expenses is automatically calculated in this column under this heading" sqref="F6" xr:uid="{F74F4E6F-3560-4E5B-9070-C2C33397EC5C}"/>
    <dataValidation allowBlank="1" showInputMessage="1" showErrorMessage="1" prompt="Enter Date in this cell." sqref="C4" xr:uid="{3B732BB8-4D31-4932-9CDD-E1E8E35A7A57}"/>
    <dataValidation allowBlank="1" showInputMessage="1" showErrorMessage="1" prompt="Title of this worksheet is in this cell. Enter Date in cell C4. " sqref="C3" xr:uid="{FB1F7A4D-29A2-4570-BACE-4252F9B901F1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8547E131-2ABC-4594-B42E-F526497FB988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0607-9FCE-40C7-9DCC-6AF4D1DBE4C3}">
  <sheetPr>
    <tabColor theme="4"/>
    <pageSetUpPr autoPageBreaks="0" fitToPage="1"/>
  </sheetPr>
  <dimension ref="B1:K27"/>
  <sheetViews>
    <sheetView showGridLines="0" zoomScaleNormal="100" workbookViewId="0">
      <selection activeCell="E8" sqref="E8"/>
    </sheetView>
  </sheetViews>
  <sheetFormatPr defaultColWidth="8.85546875" defaultRowHeight="30" customHeight="1" x14ac:dyDescent="0.25"/>
  <cols>
    <col min="1" max="2" width="2.42578125" customWidth="1"/>
    <col min="3" max="3" width="45.85546875" customWidth="1"/>
    <col min="4" max="6" width="20.85546875" customWidth="1"/>
    <col min="7" max="8" width="2.42578125" customWidth="1"/>
    <col min="10" max="10" width="26.85546875" customWidth="1"/>
  </cols>
  <sheetData>
    <row r="1" spans="2:10" ht="16.5" customHeight="1" x14ac:dyDescent="0.25"/>
    <row r="2" spans="2:10" ht="16.5" customHeight="1" x14ac:dyDescent="0.25">
      <c r="B2" s="17"/>
      <c r="C2" s="17"/>
      <c r="D2" s="17"/>
      <c r="E2" s="17"/>
      <c r="F2" s="17"/>
      <c r="G2" s="17"/>
    </row>
    <row r="3" spans="2:10" ht="60" customHeight="1" x14ac:dyDescent="0.7">
      <c r="B3" s="17"/>
      <c r="C3" s="29" t="s">
        <v>47</v>
      </c>
      <c r="D3" s="18"/>
      <c r="E3" s="19"/>
      <c r="F3" s="20"/>
      <c r="G3" s="13"/>
    </row>
    <row r="4" spans="2:10" ht="30" customHeight="1" x14ac:dyDescent="0.2">
      <c r="B4" s="17"/>
      <c r="C4" s="21" t="s">
        <v>53</v>
      </c>
      <c r="D4" s="18"/>
      <c r="E4" s="19"/>
      <c r="F4" s="20"/>
      <c r="G4" s="13"/>
    </row>
    <row r="5" spans="2:10" ht="20.100000000000001" customHeight="1" x14ac:dyDescent="0.25">
      <c r="B5" s="17"/>
      <c r="C5" s="22"/>
      <c r="D5" s="22"/>
      <c r="E5" s="22"/>
      <c r="F5" s="23"/>
      <c r="G5" s="14"/>
    </row>
    <row r="6" spans="2:10" ht="40.15" customHeight="1" x14ac:dyDescent="0.25">
      <c r="C6" s="30" t="s">
        <v>11</v>
      </c>
      <c r="D6" s="31" t="s">
        <v>2</v>
      </c>
      <c r="E6" s="31" t="s">
        <v>3</v>
      </c>
      <c r="F6" s="31" t="s">
        <v>4</v>
      </c>
      <c r="G6" s="8"/>
      <c r="J6" s="59" t="s">
        <v>40</v>
      </c>
    </row>
    <row r="7" spans="2:10" ht="40.15" customHeight="1" x14ac:dyDescent="0.25">
      <c r="C7" s="26" t="s">
        <v>48</v>
      </c>
      <c r="D7" s="71">
        <v>-32000</v>
      </c>
      <c r="E7" s="71">
        <v>-29000</v>
      </c>
      <c r="F7" s="72">
        <f>OperatingExpenses256[[#This Row],[Estimated]]-OperatingExpenses256[[#This Row],[Actual]]</f>
        <v>-3000</v>
      </c>
      <c r="G7" s="6"/>
    </row>
    <row r="8" spans="2:10" ht="40.15" customHeight="1" x14ac:dyDescent="0.25">
      <c r="C8" s="26" t="s">
        <v>49</v>
      </c>
      <c r="D8" s="71">
        <v>-20000</v>
      </c>
      <c r="E8" s="71"/>
      <c r="F8" s="72">
        <f>OperatingExpenses256[[#This Row],[Estimated]]-OperatingExpenses256[[#This Row],[Actual]]</f>
        <v>-20000</v>
      </c>
      <c r="G8" s="6"/>
    </row>
    <row r="9" spans="2:10" ht="40.15" customHeight="1" x14ac:dyDescent="0.25">
      <c r="C9" s="26" t="s">
        <v>50</v>
      </c>
      <c r="D9" s="71">
        <v>-15000</v>
      </c>
      <c r="E9" s="71"/>
      <c r="F9" s="72">
        <f>OperatingExpenses256[[#This Row],[Estimated]]-OperatingExpenses256[[#This Row],[Actual]]</f>
        <v>-15000</v>
      </c>
      <c r="G9" s="6"/>
    </row>
    <row r="10" spans="2:10" ht="40.15" customHeight="1" x14ac:dyDescent="0.25">
      <c r="C10" s="26" t="s">
        <v>65</v>
      </c>
      <c r="D10" s="71">
        <v>-8500</v>
      </c>
      <c r="E10" s="71"/>
      <c r="F10" s="72">
        <f>OperatingExpenses256[[#This Row],[Estimated]]-OperatingExpenses256[[#This Row],[Actual]]</f>
        <v>-8500</v>
      </c>
      <c r="G10" s="6"/>
    </row>
    <row r="11" spans="2:10" ht="40.15" customHeight="1" x14ac:dyDescent="0.25">
      <c r="C11" s="26"/>
      <c r="D11" s="71"/>
      <c r="E11" s="71"/>
      <c r="F11" s="72">
        <f>OperatingExpenses256[[#This Row],[Estimated]]-OperatingExpenses256[[#This Row],[Actual]]</f>
        <v>0</v>
      </c>
      <c r="G11" s="6"/>
    </row>
    <row r="12" spans="2:10" ht="40.15" customHeight="1" x14ac:dyDescent="0.25">
      <c r="C12" s="26"/>
      <c r="D12" s="71"/>
      <c r="E12" s="71"/>
      <c r="F12" s="72">
        <f>OperatingExpenses256[[#This Row],[Estimated]]-OperatingExpenses256[[#This Row],[Actual]]</f>
        <v>0</v>
      </c>
      <c r="G12" s="6"/>
    </row>
    <row r="13" spans="2:10" ht="40.15" customHeight="1" x14ac:dyDescent="0.25">
      <c r="C13" s="26"/>
      <c r="D13" s="71"/>
      <c r="E13" s="71"/>
      <c r="F13" s="72">
        <f>OperatingExpenses256[[#This Row],[Estimated]]-OperatingExpenses256[[#This Row],[Actual]]</f>
        <v>0</v>
      </c>
      <c r="G13" s="6"/>
    </row>
    <row r="14" spans="2:10" ht="40.15" customHeight="1" x14ac:dyDescent="0.25">
      <c r="C14" s="26"/>
      <c r="D14" s="71"/>
      <c r="E14" s="71"/>
      <c r="F14" s="72">
        <f>OperatingExpenses256[[#This Row],[Estimated]]-OperatingExpenses256[[#This Row],[Actual]]</f>
        <v>0</v>
      </c>
      <c r="G14" s="6"/>
    </row>
    <row r="15" spans="2:10" ht="40.15" customHeight="1" x14ac:dyDescent="0.25">
      <c r="C15" s="26"/>
      <c r="D15" s="71"/>
      <c r="E15" s="71"/>
      <c r="F15" s="72">
        <f>OperatingExpenses256[[#This Row],[Estimated]]-OperatingExpenses256[[#This Row],[Actual]]</f>
        <v>0</v>
      </c>
      <c r="G15" s="6"/>
    </row>
    <row r="16" spans="2:10" ht="40.15" customHeight="1" x14ac:dyDescent="0.25">
      <c r="C16" s="26"/>
      <c r="D16" s="71"/>
      <c r="E16" s="71"/>
      <c r="F16" s="72">
        <f>OperatingExpenses256[[#This Row],[Estimated]]-OperatingExpenses256[[#This Row],[Actual]]</f>
        <v>0</v>
      </c>
      <c r="G16" s="6"/>
    </row>
    <row r="17" spans="3:11" ht="40.15" customHeight="1" x14ac:dyDescent="0.25">
      <c r="C17" s="26"/>
      <c r="D17" s="71"/>
      <c r="E17" s="71"/>
      <c r="F17" s="72">
        <f>OperatingExpenses256[[#This Row],[Estimated]]-OperatingExpenses256[[#This Row],[Actual]]</f>
        <v>0</v>
      </c>
      <c r="G17" s="6"/>
    </row>
    <row r="18" spans="3:11" ht="40.15" customHeight="1" x14ac:dyDescent="0.25">
      <c r="C18" s="26"/>
      <c r="D18" s="71"/>
      <c r="E18" s="71"/>
      <c r="F18" s="72">
        <f>OperatingExpenses256[[#This Row],[Estimated]]-OperatingExpenses256[[#This Row],[Actual]]</f>
        <v>0</v>
      </c>
      <c r="G18" s="6"/>
    </row>
    <row r="19" spans="3:11" ht="40.15" customHeight="1" x14ac:dyDescent="0.25">
      <c r="C19" s="26"/>
      <c r="D19" s="71"/>
      <c r="E19" s="71"/>
      <c r="F19" s="72">
        <f>OperatingExpenses256[[#This Row],[Estimated]]-OperatingExpenses256[[#This Row],[Actual]]</f>
        <v>0</v>
      </c>
      <c r="G19" s="6"/>
    </row>
    <row r="20" spans="3:11" ht="40.15" customHeight="1" x14ac:dyDescent="0.25">
      <c r="C20" s="26"/>
      <c r="D20" s="71"/>
      <c r="E20" s="71"/>
      <c r="F20" s="72">
        <f>OperatingExpenses256[[#This Row],[Estimated]]-OperatingExpenses256[[#This Row],[Actual]]</f>
        <v>0</v>
      </c>
      <c r="G20" s="6"/>
    </row>
    <row r="21" spans="3:11" ht="40.15" customHeight="1" x14ac:dyDescent="0.25">
      <c r="C21" s="26"/>
      <c r="D21" s="71"/>
      <c r="E21" s="71"/>
      <c r="F21" s="72">
        <f>OperatingExpenses256[[#This Row],[Estimated]]-OperatingExpenses256[[#This Row],[Actual]]</f>
        <v>0</v>
      </c>
      <c r="G21" s="6"/>
      <c r="K21" t="s">
        <v>1</v>
      </c>
    </row>
    <row r="22" spans="3:11" ht="40.15" customHeight="1" x14ac:dyDescent="0.25">
      <c r="C22" s="26"/>
      <c r="D22" s="71"/>
      <c r="E22" s="71"/>
      <c r="F22" s="72">
        <f>OperatingExpenses256[[#This Row],[Estimated]]-OperatingExpenses256[[#This Row],[Actual]]</f>
        <v>0</v>
      </c>
      <c r="G22" s="6"/>
    </row>
    <row r="23" spans="3:11" ht="40.15" customHeight="1" x14ac:dyDescent="0.25">
      <c r="C23" s="26"/>
      <c r="D23" s="71"/>
      <c r="E23" s="71"/>
      <c r="F23" s="72">
        <f>OperatingExpenses256[[#This Row],[Estimated]]-OperatingExpenses256[[#This Row],[Actual]]</f>
        <v>0</v>
      </c>
      <c r="G23" s="6"/>
    </row>
    <row r="24" spans="3:11" ht="40.15" customHeight="1" x14ac:dyDescent="0.25">
      <c r="C24" s="26"/>
      <c r="D24" s="71"/>
      <c r="E24" s="71"/>
      <c r="F24" s="72">
        <f>OperatingExpenses256[[#This Row],[Estimated]]-OperatingExpenses256[[#This Row],[Actual]]</f>
        <v>0</v>
      </c>
      <c r="G24" s="6"/>
    </row>
    <row r="25" spans="3:11" ht="40.15" customHeight="1" x14ac:dyDescent="0.25">
      <c r="C25" s="26"/>
      <c r="D25" s="71"/>
      <c r="E25" s="71"/>
      <c r="F25" s="72">
        <f>OperatingExpenses256[[#This Row],[Estimated]]-OperatingExpenses256[[#This Row],[Actual]]</f>
        <v>0</v>
      </c>
      <c r="G25" s="6"/>
    </row>
    <row r="26" spans="3:11" ht="40.15" customHeight="1" x14ac:dyDescent="0.25">
      <c r="C26" s="26"/>
      <c r="D26" s="71"/>
      <c r="E26" s="71"/>
      <c r="F26" s="72">
        <f>OperatingExpenses256[[#This Row],[Estimated]]-OperatingExpenses256[[#This Row],[Actual]]</f>
        <v>0</v>
      </c>
      <c r="G26" s="6"/>
    </row>
    <row r="27" spans="3:11" ht="40.15" customHeight="1" x14ac:dyDescent="0.25">
      <c r="C27" s="28" t="s">
        <v>47</v>
      </c>
      <c r="D27" s="72">
        <f>SUBTOTAL(109,OperatingExpenses256[Estimated])</f>
        <v>-75500</v>
      </c>
      <c r="E27" s="72">
        <f>SUBTOTAL(109,OperatingExpenses256[Actual])</f>
        <v>-29000</v>
      </c>
      <c r="F27" s="72">
        <f>SUBTOTAL(109,OperatingExpenses256[Difference])</f>
        <v>-46500</v>
      </c>
      <c r="G27" s="7"/>
    </row>
  </sheetData>
  <sheetProtection insertColumns="0" insertRows="0" deleteColumns="0" deleteRows="0" selectLockedCells="1" autoFilter="0"/>
  <dataConsolidate/>
  <conditionalFormatting sqref="C7:F26">
    <cfRule type="cellIs" dxfId="5" priority="1" operator="lessThan">
      <formula>0</formula>
    </cfRule>
  </conditionalFormatting>
  <dataValidations count="8">
    <dataValidation allowBlank="1" showInputMessage="1" showErrorMessage="1" prompt="Title of this worksheet is in this cell. Enter Date in cell C4. " sqref="C3" xr:uid="{660C9ECE-5BBB-4AEA-889F-7FE627B020FA}"/>
    <dataValidation allowBlank="1" showInputMessage="1" showErrorMessage="1" prompt="Enter Date in this cell." sqref="C4" xr:uid="{59F47183-ECBA-4CD7-A296-D7C6D1D0A80A}"/>
    <dataValidation allowBlank="1" showInputMessage="1" showErrorMessage="1" prompt="Difference of Estimated and Actual Operating Expenses is automatically calculated in this column under this heading" sqref="F6" xr:uid="{20D495A5-4124-46C5-A842-6DAFA2B5537F}"/>
    <dataValidation allowBlank="1" showInputMessage="1" showErrorMessage="1" prompt="Enter Actual amount in this column under this heading" sqref="E6" xr:uid="{709EA495-29DC-4C2C-85AD-78706FF42D42}"/>
    <dataValidation allowBlank="1" showInputMessage="1" showErrorMessage="1" prompt="Enter Estimated amount in this column under this heading" sqref="D6" xr:uid="{B4017AAD-FEC9-4CE1-8978-979F779C28E5}"/>
    <dataValidation allowBlank="1" showInputMessage="1" showErrorMessage="1" prompt="Enter Operating Expenses in this column under this heading. Use heading filters to find specific entries" sqref="C6" xr:uid="{FC2B7395-F159-44D0-81F6-B6B040832058}"/>
    <dataValidation allowBlank="1" showInputMessage="1" showErrorMessage="1" errorTitle="ALERT" error="This cell is automatically populated and should not be overwitten. Overwriting this cell would break calculations in this worksheet." sqref="F7:F26" xr:uid="{774DEDC4-E0F9-471C-B66C-29C5B21BE4B2}"/>
    <dataValidation type="custom" allowBlank="1" showInputMessage="1" showErrorMessage="1" errorTitle="ALERT" error="This cell is automatically populated and should not be overwitten. Overwriting this cell would break calculations in this worksheet." sqref="G7:G26" xr:uid="{9A635E6C-00B4-41C4-B01A-64D6D29C0CE0}">
      <formula1>LEN(G7)=""</formula1>
    </dataValidation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F75A59A-FB00-493A-AA76-4D3D55207C8F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autoPageBreaks="0" fitToPage="1"/>
  </sheetPr>
  <dimension ref="B1:G36"/>
  <sheetViews>
    <sheetView showGridLines="0" topLeftCell="A10" zoomScaleNormal="100" workbookViewId="0">
      <selection activeCell="K13" sqref="K13"/>
    </sheetView>
  </sheetViews>
  <sheetFormatPr defaultColWidth="8.85546875" defaultRowHeight="30" customHeight="1" x14ac:dyDescent="0.25"/>
  <cols>
    <col min="1" max="2" width="2.42578125" customWidth="1"/>
    <col min="3" max="3" width="45.85546875" customWidth="1"/>
    <col min="4" max="6" width="20.85546875" customWidth="1"/>
    <col min="7" max="8" width="2.42578125" customWidth="1"/>
    <col min="14" max="14" width="12.42578125" customWidth="1"/>
  </cols>
  <sheetData>
    <row r="1" spans="2:7" ht="16.5" customHeight="1" x14ac:dyDescent="0.25"/>
    <row r="2" spans="2:7" ht="16.5" customHeight="1" x14ac:dyDescent="0.25">
      <c r="B2" s="17"/>
      <c r="C2" s="17"/>
      <c r="D2" s="17"/>
      <c r="E2" s="17"/>
      <c r="F2" s="17"/>
      <c r="G2" s="17"/>
    </row>
    <row r="3" spans="2:7" ht="60" customHeight="1" x14ac:dyDescent="0.7">
      <c r="B3" s="17"/>
      <c r="C3" s="29" t="s">
        <v>13</v>
      </c>
      <c r="D3" s="18"/>
      <c r="E3" s="19"/>
      <c r="F3" s="20"/>
      <c r="G3" s="13"/>
    </row>
    <row r="4" spans="2:7" ht="30" customHeight="1" x14ac:dyDescent="0.25">
      <c r="B4" s="17"/>
      <c r="C4" s="21" t="s">
        <v>53</v>
      </c>
      <c r="D4" s="32"/>
      <c r="E4" s="32"/>
      <c r="F4" s="17"/>
      <c r="G4" s="14"/>
    </row>
    <row r="5" spans="2:7" ht="20.100000000000001" customHeight="1" x14ac:dyDescent="0.25">
      <c r="B5" s="17"/>
      <c r="C5" s="32"/>
      <c r="D5" s="32"/>
      <c r="E5" s="32"/>
      <c r="F5" s="17"/>
      <c r="G5" s="14"/>
    </row>
    <row r="6" spans="2:7" ht="40.15" customHeight="1" x14ac:dyDescent="0.25">
      <c r="C6" s="24" t="s">
        <v>11</v>
      </c>
      <c r="D6" s="25" t="s">
        <v>2</v>
      </c>
      <c r="E6" s="25" t="s">
        <v>3</v>
      </c>
      <c r="F6" s="25" t="s">
        <v>4</v>
      </c>
      <c r="G6" s="5"/>
    </row>
    <row r="7" spans="2:7" ht="40.15" customHeight="1" x14ac:dyDescent="0.25">
      <c r="C7" s="26" t="s">
        <v>21</v>
      </c>
      <c r="D7" s="64">
        <v>-4000</v>
      </c>
      <c r="E7" s="64"/>
      <c r="F7" s="66">
        <f>PersonnelExpenses[[#This Row],[Estimated]]-PersonnelExpenses[[#This Row],[Actual]]</f>
        <v>-4000</v>
      </c>
      <c r="G7" s="6"/>
    </row>
    <row r="8" spans="2:7" ht="40.15" customHeight="1" x14ac:dyDescent="0.25">
      <c r="C8" s="26" t="s">
        <v>18</v>
      </c>
      <c r="D8" s="64">
        <v>-300</v>
      </c>
      <c r="E8" s="64"/>
      <c r="F8" s="66">
        <f>PersonnelExpenses[[#This Row],[Estimated]]-PersonnelExpenses[[#This Row],[Actual]]</f>
        <v>-300</v>
      </c>
      <c r="G8" s="6"/>
    </row>
    <row r="9" spans="2:7" ht="40.15" customHeight="1" x14ac:dyDescent="0.25">
      <c r="C9" s="26" t="s">
        <v>22</v>
      </c>
      <c r="D9" s="64">
        <v>-2500</v>
      </c>
      <c r="E9" s="64"/>
      <c r="F9" s="66">
        <f>PersonnelExpenses[[#This Row],[Estimated]]-PersonnelExpenses[[#This Row],[Actual]]</f>
        <v>-2500</v>
      </c>
      <c r="G9" s="6"/>
    </row>
    <row r="10" spans="2:7" ht="40.15" customHeight="1" x14ac:dyDescent="0.25">
      <c r="C10" s="26" t="s">
        <v>19</v>
      </c>
      <c r="D10" s="64">
        <v>-300</v>
      </c>
      <c r="E10" s="64"/>
      <c r="F10" s="66">
        <f>PersonnelExpenses[[#This Row],[Estimated]]-PersonnelExpenses[[#This Row],[Actual]]</f>
        <v>-300</v>
      </c>
      <c r="G10" s="6"/>
    </row>
    <row r="11" spans="2:7" ht="40.15" customHeight="1" x14ac:dyDescent="0.25">
      <c r="C11" s="26" t="s">
        <v>20</v>
      </c>
      <c r="D11" s="64">
        <v>-2500</v>
      </c>
      <c r="E11" s="64"/>
      <c r="F11" s="66">
        <f>PersonnelExpenses[[#This Row],[Estimated]]-PersonnelExpenses[[#This Row],[Actual]]</f>
        <v>-2500</v>
      </c>
      <c r="G11" s="6"/>
    </row>
    <row r="12" spans="2:7" ht="40.15" customHeight="1" x14ac:dyDescent="0.25">
      <c r="C12" s="26" t="s">
        <v>23</v>
      </c>
      <c r="D12" s="64">
        <v>-300</v>
      </c>
      <c r="E12" s="64"/>
      <c r="F12" s="66">
        <f>PersonnelExpenses[[#This Row],[Estimated]]-PersonnelExpenses[[#This Row],[Actual]]</f>
        <v>-300</v>
      </c>
      <c r="G12" s="6"/>
    </row>
    <row r="13" spans="2:7" ht="40.15" customHeight="1" x14ac:dyDescent="0.25">
      <c r="C13" s="26" t="s">
        <v>24</v>
      </c>
      <c r="D13" s="64">
        <v>-1600</v>
      </c>
      <c r="E13" s="64"/>
      <c r="F13" s="66">
        <f>PersonnelExpenses[[#This Row],[Estimated]]-PersonnelExpenses[[#This Row],[Actual]]</f>
        <v>-1600</v>
      </c>
      <c r="G13" s="6"/>
    </row>
    <row r="14" spans="2:7" ht="40.15" customHeight="1" x14ac:dyDescent="0.25">
      <c r="C14" s="26" t="s">
        <v>25</v>
      </c>
      <c r="D14" s="64">
        <v>-1800</v>
      </c>
      <c r="E14" s="64"/>
      <c r="F14" s="66">
        <f>PersonnelExpenses[[#This Row],[Estimated]]-PersonnelExpenses[[#This Row],[Actual]]</f>
        <v>-1800</v>
      </c>
      <c r="G14" s="6"/>
    </row>
    <row r="15" spans="2:7" ht="40.15" customHeight="1" x14ac:dyDescent="0.25">
      <c r="C15" s="26" t="s">
        <v>27</v>
      </c>
      <c r="D15" s="64">
        <v>-1600</v>
      </c>
      <c r="E15" s="64"/>
      <c r="F15" s="66">
        <f>PersonnelExpenses[[#This Row],[Estimated]]-PersonnelExpenses[[#This Row],[Actual]]</f>
        <v>-1600</v>
      </c>
      <c r="G15" s="6"/>
    </row>
    <row r="16" spans="2:7" ht="40.15" customHeight="1" x14ac:dyDescent="0.25">
      <c r="C16" s="26" t="s">
        <v>26</v>
      </c>
      <c r="D16" s="64">
        <v>-1600</v>
      </c>
      <c r="E16" s="64"/>
      <c r="F16" s="66">
        <f>PersonnelExpenses[[#This Row],[Estimated]]-PersonnelExpenses[[#This Row],[Actual]]</f>
        <v>-1600</v>
      </c>
      <c r="G16" s="6"/>
    </row>
    <row r="17" spans="3:7" ht="40.15" customHeight="1" x14ac:dyDescent="0.25">
      <c r="C17" s="26" t="s">
        <v>28</v>
      </c>
      <c r="D17" s="64">
        <v>-1000</v>
      </c>
      <c r="E17" s="64"/>
      <c r="F17" s="66">
        <f>PersonnelExpenses[[#This Row],[Estimated]]-PersonnelExpenses[[#This Row],[Actual]]</f>
        <v>-1000</v>
      </c>
      <c r="G17" s="6"/>
    </row>
    <row r="18" spans="3:7" ht="40.15" customHeight="1" x14ac:dyDescent="0.25">
      <c r="C18" s="26" t="s">
        <v>29</v>
      </c>
      <c r="D18" s="64">
        <v>-800</v>
      </c>
      <c r="E18" s="64"/>
      <c r="F18" s="66">
        <f>PersonnelExpenses[[#This Row],[Estimated]]-PersonnelExpenses[[#This Row],[Actual]]</f>
        <v>-800</v>
      </c>
      <c r="G18" s="6"/>
    </row>
    <row r="19" spans="3:7" ht="40.15" customHeight="1" x14ac:dyDescent="0.25">
      <c r="C19" s="26" t="s">
        <v>30</v>
      </c>
      <c r="D19" s="64">
        <v>-800</v>
      </c>
      <c r="E19" s="64"/>
      <c r="F19" s="66">
        <f>PersonnelExpenses[[#This Row],[Estimated]]-PersonnelExpenses[[#This Row],[Actual]]</f>
        <v>-800</v>
      </c>
      <c r="G19" s="6"/>
    </row>
    <row r="20" spans="3:7" ht="40.15" customHeight="1" x14ac:dyDescent="0.25">
      <c r="C20" s="26" t="s">
        <v>31</v>
      </c>
      <c r="D20" s="64">
        <v>-800</v>
      </c>
      <c r="E20" s="64"/>
      <c r="F20" s="66">
        <f>PersonnelExpenses[[#This Row],[Estimated]]-PersonnelExpenses[[#This Row],[Actual]]</f>
        <v>-800</v>
      </c>
      <c r="G20" s="6"/>
    </row>
    <row r="21" spans="3:7" ht="40.15" customHeight="1" x14ac:dyDescent="0.25">
      <c r="C21" s="26" t="s">
        <v>32</v>
      </c>
      <c r="D21" s="64">
        <v>-800</v>
      </c>
      <c r="E21" s="64"/>
      <c r="F21" s="66">
        <f>PersonnelExpenses[[#This Row],[Estimated]]-PersonnelExpenses[[#This Row],[Actual]]</f>
        <v>-800</v>
      </c>
      <c r="G21" s="6"/>
    </row>
    <row r="22" spans="3:7" ht="40.15" customHeight="1" x14ac:dyDescent="0.25">
      <c r="C22" s="26" t="s">
        <v>33</v>
      </c>
      <c r="D22" s="64">
        <v>-250</v>
      </c>
      <c r="E22" s="64"/>
      <c r="F22" s="66">
        <f>PersonnelExpenses[[#This Row],[Estimated]]-PersonnelExpenses[[#This Row],[Actual]]</f>
        <v>-250</v>
      </c>
      <c r="G22" s="6"/>
    </row>
    <row r="23" spans="3:7" ht="40.15" customHeight="1" x14ac:dyDescent="0.25">
      <c r="C23" s="26" t="s">
        <v>34</v>
      </c>
      <c r="D23" s="64">
        <v>-1500</v>
      </c>
      <c r="E23" s="64"/>
      <c r="F23" s="66">
        <f>PersonnelExpenses[[#This Row],[Estimated]]-PersonnelExpenses[[#This Row],[Actual]]</f>
        <v>-1500</v>
      </c>
      <c r="G23" s="6"/>
    </row>
    <row r="24" spans="3:7" ht="40.15" customHeight="1" x14ac:dyDescent="0.25">
      <c r="C24" s="26" t="s">
        <v>35</v>
      </c>
      <c r="D24" s="64">
        <v>-1500</v>
      </c>
      <c r="E24" s="64"/>
      <c r="F24" s="66">
        <f>PersonnelExpenses[[#This Row],[Estimated]]-PersonnelExpenses[[#This Row],[Actual]]</f>
        <v>-1500</v>
      </c>
      <c r="G24" s="6"/>
    </row>
    <row r="25" spans="3:7" ht="40.15" customHeight="1" x14ac:dyDescent="0.25">
      <c r="C25" s="33" t="s">
        <v>10</v>
      </c>
      <c r="D25" s="66">
        <f>SUBTOTAL(109,PersonnelExpenses[Estimated])</f>
        <v>-23950</v>
      </c>
      <c r="E25" s="66">
        <f>SUBTOTAL(109,PersonnelExpenses[Actual])</f>
        <v>0</v>
      </c>
      <c r="F25" s="66">
        <f>SUBTOTAL(109,PersonnelExpenses[Difference])</f>
        <v>-23950</v>
      </c>
      <c r="G25" s="7"/>
    </row>
    <row r="36" spans="6:6" ht="30" customHeight="1" x14ac:dyDescent="0.25">
      <c r="F36" t="s">
        <v>1</v>
      </c>
    </row>
  </sheetData>
  <sheetProtection insertColumns="0" insertRows="0" deleteColumns="0" deleteRows="0" selectLockedCells="1" autoFilter="0"/>
  <dataConsolidate/>
  <conditionalFormatting sqref="C7:F24">
    <cfRule type="cellIs" dxfId="4" priority="1" operator="lessThan">
      <formula>0</formula>
    </cfRule>
  </conditionalFormatting>
  <dataValidations count="8">
    <dataValidation allowBlank="1" showInputMessage="1" showErrorMessage="1" errorTitle="ALERT" error="This cell is automatically populated and should not be overwitten. Overwriting this cell would break calculations in this worksheet." sqref="F7:F24" xr:uid="{00000000-0002-0000-0200-000000000000}"/>
    <dataValidation type="custom" allowBlank="1" showInputMessage="1" showErrorMessage="1" errorTitle="ALERT" error="This cell is automatically populated and should not be overwitten. Overwriting this cell would break calculations in this worksheet." sqref="G7:G24" xr:uid="{00000000-0002-0000-0200-000001000000}">
      <formula1>LEN(G7)=""</formula1>
    </dataValidation>
    <dataValidation allowBlank="1" showInputMessage="1" showErrorMessage="1" prompt="Enter Personnel Expenses in this column under this heading. Use heading filters to find specific entries" sqref="C6" xr:uid="{00000000-0002-0000-0200-000002000000}"/>
    <dataValidation allowBlank="1" showInputMessage="1" showErrorMessage="1" prompt="Enter Estimated amount in this column under this heading" sqref="D6" xr:uid="{00000000-0002-0000-0200-000003000000}"/>
    <dataValidation allowBlank="1" showInputMessage="1" showErrorMessage="1" prompt="Enter Actual amount in this column under this heading" sqref="E6" xr:uid="{00000000-0002-0000-0200-000004000000}"/>
    <dataValidation allowBlank="1" showInputMessage="1" showErrorMessage="1" prompt="Difference of Estimated and Actual Personnel Expenses is automatically calculated in this column under this heading" sqref="F6" xr:uid="{00000000-0002-0000-0200-000005000000}"/>
    <dataValidation allowBlank="1" showInputMessage="1" showErrorMessage="1" prompt="Title of this worksheet is in this cell. Enter Date in cell C4. " sqref="C3" xr:uid="{59594C10-EEC2-2641-9E1A-2180C2CA0BB8}"/>
    <dataValidation allowBlank="1" showInputMessage="1" showErrorMessage="1" prompt="Enter Date in this cell." sqref="C4" xr:uid="{16BF89FD-7EC3-46A8-9D4B-EC78BBF6B4A8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05D47DE-DAEF-437E-AEB3-B330BDE5B98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G7:G24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TM11785012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Budget summary</vt:lpstr>
      <vt:lpstr>Income</vt:lpstr>
      <vt:lpstr>Expense Summary</vt:lpstr>
      <vt:lpstr>Athletics Budget</vt:lpstr>
      <vt:lpstr>Council Retreat Budget</vt:lpstr>
      <vt:lpstr>Frosh Budget</vt:lpstr>
      <vt:lpstr>Social Budget</vt:lpstr>
      <vt:lpstr>Honorarium</vt:lpstr>
      <vt:lpstr>BUDGET_Title</vt:lpstr>
      <vt:lpstr>ColumnTitle1</vt:lpstr>
      <vt:lpstr>'Athletics Budget'!Print_Titles</vt:lpstr>
      <vt:lpstr>'Council Retreat Budget'!Print_Titles</vt:lpstr>
      <vt:lpstr>'Expense Summary'!Print_Titles</vt:lpstr>
      <vt:lpstr>'Frosh Budget'!Print_Titles</vt:lpstr>
      <vt:lpstr>Honorarium!Print_Titles</vt:lpstr>
      <vt:lpstr>Income!Print_Titles</vt:lpstr>
      <vt:lpstr>'Social Budget'!Print_Titles</vt:lpstr>
      <vt:lpstr>'Athletics Budget'!Title2</vt:lpstr>
      <vt:lpstr>'Expense Summary'!Title2</vt:lpstr>
      <vt:lpstr>'Frosh Budget'!Title2</vt:lpstr>
      <vt:lpstr>'Social Budget'!Title2</vt:lpstr>
      <vt:lpstr>Title2</vt:lpstr>
      <vt:lpstr>'Athletics Budget'!Title3</vt:lpstr>
      <vt:lpstr>'Expense Summary'!Title3</vt:lpstr>
      <vt:lpstr>'Frosh Budget'!Title3</vt:lpstr>
      <vt:lpstr>'Social Budget'!Title3</vt:lpstr>
      <vt:lpstr>Title3</vt:lpstr>
      <vt:lpstr>'Athletics Budget'!Title4</vt:lpstr>
      <vt:lpstr>'Expense Summary'!Title4</vt:lpstr>
      <vt:lpstr>'Frosh Budget'!Title4</vt:lpstr>
      <vt:lpstr>'Social Budget'!Title4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2022-12-20T23:44:42Z</dcterms:created>
  <dcterms:modified xsi:type="dcterms:W3CDTF">2025-11-19T03:35:52Z</dcterms:modified>
</cp:coreProperties>
</file>